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Natalia\Documents\TCC\"/>
    </mc:Choice>
  </mc:AlternateContent>
  <xr:revisionPtr revIDLastSave="0" documentId="13_ncr:1_{B0BAC471-AD13-41AB-8D40-37158A6F6175}" xr6:coauthVersionLast="43" xr6:coauthVersionMax="43" xr10:uidLastSave="{00000000-0000-0000-0000-000000000000}"/>
  <bookViews>
    <workbookView xWindow="-110" yWindow="-110" windowWidth="19420" windowHeight="10420" activeTab="1" xr2:uid="{6ECDDAED-6B40-4324-A7B7-A7F5F43C67A1}"/>
  </bookViews>
  <sheets>
    <sheet name="Suporte (Exemplo inicial)" sheetId="10" r:id="rId1"/>
    <sheet name="Principal" sheetId="2" r:id="rId2"/>
    <sheet name="Gráfico 1 Hoek 2007" sheetId="5" r:id="rId3"/>
    <sheet name="Gráfico 2 HB 2002" sheetId="11" r:id="rId4"/>
  </sheets>
  <definedNames>
    <definedName name="a" localSheetId="0">Principal!$F$7</definedName>
    <definedName name="a">Principal!$G$7</definedName>
    <definedName name="coh">Principal!$G$13</definedName>
    <definedName name="D" localSheetId="0">Principal!$C$6</definedName>
    <definedName name="D">Principal!$C$6</definedName>
    <definedName name="E" localSheetId="0">Principal!$F$16</definedName>
    <definedName name="E">Principal!$F$16</definedName>
    <definedName name="fatD" localSheetId="0">Principal!$C$14</definedName>
    <definedName name="fatD">Principal!$C$14</definedName>
    <definedName name="GSI" localSheetId="0">Principal!$C$5</definedName>
    <definedName name="GSI">Principal!$C$5</definedName>
    <definedName name="k" localSheetId="0">Principal!$H$14</definedName>
    <definedName name="k">Principal!$G$14</definedName>
    <definedName name="mb" localSheetId="0">Principal!$F$5</definedName>
    <definedName name="mb">Principal!$F$5</definedName>
    <definedName name="mi" localSheetId="0">Principal!$C$12</definedName>
    <definedName name="mi">Principal!$C$12</definedName>
    <definedName name="mu" localSheetId="0">Principal!$C$13</definedName>
    <definedName name="mu">Principal!$C$13</definedName>
    <definedName name="pcr" localSheetId="0">Principal!$H$15</definedName>
    <definedName name="pcr">Principal!$G$15</definedName>
    <definedName name="phi" localSheetId="0">Principal!$H$12</definedName>
    <definedName name="phi">Principal!$G$12</definedName>
    <definedName name="pis" localSheetId="0">Principal!$C$20</definedName>
    <definedName name="pis">Principal!$C$20</definedName>
    <definedName name="po" localSheetId="0">Principal!$F$3</definedName>
    <definedName name="po">Principal!$F$3</definedName>
    <definedName name="ro" localSheetId="0">Principal!$F$9</definedName>
    <definedName name="ro">Principal!$F$9</definedName>
    <definedName name="s" localSheetId="0">Principal!$F$6</definedName>
    <definedName name="s">Principal!$G$6</definedName>
    <definedName name="sigci" localSheetId="0">Principal!$C$10</definedName>
    <definedName name="sigci">Principal!$C$10</definedName>
    <definedName name="sigcm" localSheetId="0">Principal!$H$4</definedName>
    <definedName name="sigcm">Principal!$G$4</definedName>
    <definedName name="spacing" localSheetId="0">Principal!$C$7</definedName>
    <definedName name="spacing">Principal!$C$7</definedName>
    <definedName name="sumsig1" localSheetId="0">Principal!$AA$5</definedName>
    <definedName name="sumsig1">Principal!$Z$5</definedName>
    <definedName name="sumsig3" localSheetId="0">Principal!$AA$4</definedName>
    <definedName name="sumsig3">Principal!$Z$4</definedName>
    <definedName name="sumsig3sig1" localSheetId="0">Principal!$AA$6</definedName>
    <definedName name="sumsig3sig1">Principal!$Z$6</definedName>
    <definedName name="sumsig3sq" localSheetId="0">Principal!$AA$7</definedName>
    <definedName name="sumsig3sq">Principal!$Z$7</definedName>
    <definedName name="tiposup" localSheetId="0">Principal!#REF!</definedName>
    <definedName name="tiposup">Principal!#REF!</definedName>
    <definedName name="ui" localSheetId="0">Principal!$F$18</definedName>
    <definedName name="ui">Principal!$F$18</definedName>
    <definedName name="uso">Principal!$Q$15</definedName>
    <definedName name="y" localSheetId="0">Principal!$C$11</definedName>
    <definedName name="y">Principal!$C$11</definedName>
    <definedName name="z" localSheetId="0">Principal!$C$4</definedName>
    <definedName name="z">Principal!$C$4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3" i="2" l="1"/>
  <c r="T12" i="2"/>
  <c r="T28" i="2"/>
  <c r="AM46" i="2"/>
  <c r="AM22" i="2"/>
  <c r="AL47" i="2"/>
  <c r="AL23" i="2"/>
  <c r="T33" i="2"/>
  <c r="AL46" i="2" s="1"/>
  <c r="U17" i="2"/>
  <c r="T17" i="2"/>
  <c r="G6" i="2"/>
  <c r="F6" i="2"/>
  <c r="F7" i="2"/>
  <c r="G7" i="2"/>
  <c r="I63" i="10" l="1"/>
  <c r="I62" i="10"/>
  <c r="I61" i="10"/>
  <c r="I60" i="10"/>
  <c r="I59" i="10"/>
  <c r="I58" i="10"/>
  <c r="I57" i="10"/>
  <c r="I55" i="10"/>
  <c r="I54" i="10"/>
  <c r="I53" i="10"/>
  <c r="I52" i="10"/>
  <c r="I51" i="10"/>
  <c r="I50" i="10"/>
  <c r="I49" i="10"/>
  <c r="I48" i="10"/>
  <c r="I47" i="10"/>
  <c r="I46" i="10"/>
  <c r="I44" i="10"/>
  <c r="I43" i="10"/>
  <c r="I42" i="10"/>
  <c r="I41" i="10"/>
  <c r="I40" i="10"/>
  <c r="I39" i="10"/>
  <c r="I38" i="10"/>
  <c r="I37" i="10"/>
  <c r="I36" i="10"/>
  <c r="I35" i="10"/>
  <c r="I34" i="10"/>
  <c r="E22" i="10"/>
  <c r="I10" i="10"/>
  <c r="E16" i="10" s="1"/>
  <c r="E17" i="10" s="1"/>
  <c r="E18" i="10" s="1"/>
  <c r="E19" i="10" s="1"/>
  <c r="H10" i="10"/>
  <c r="G10" i="10"/>
  <c r="F10" i="10"/>
  <c r="H9" i="10"/>
  <c r="G9" i="10"/>
  <c r="F9" i="10"/>
  <c r="I9" i="10" s="1"/>
  <c r="J9" i="10" s="1"/>
  <c r="E6" i="10"/>
  <c r="E31" i="10" s="1"/>
  <c r="J10" i="10" l="1"/>
  <c r="E23" i="10"/>
  <c r="E24" i="10" s="1"/>
  <c r="E20" i="10"/>
  <c r="E21" i="10"/>
  <c r="F3" i="2"/>
  <c r="F27" i="2" s="1"/>
  <c r="S4" i="2"/>
  <c r="F5" i="2"/>
  <c r="T4" i="2"/>
  <c r="U4" i="2"/>
  <c r="V4" i="2"/>
  <c r="W4" i="2"/>
  <c r="W7" i="2" s="1"/>
  <c r="X4" i="2"/>
  <c r="Y4" i="2"/>
  <c r="S7" i="2"/>
  <c r="F16" i="2"/>
  <c r="O3" i="2"/>
  <c r="O4" i="2"/>
  <c r="O5" i="2"/>
  <c r="O6" i="2"/>
  <c r="O7" i="2"/>
  <c r="F29" i="2" s="1"/>
  <c r="O8" i="2"/>
  <c r="F9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31" i="2"/>
  <c r="AL22" i="2"/>
  <c r="AN15" i="2"/>
  <c r="U34" i="2" l="1"/>
  <c r="U18" i="2"/>
  <c r="S5" i="2"/>
  <c r="S6" i="2" s="1"/>
  <c r="Y5" i="2"/>
  <c r="Y6" i="2" s="1"/>
  <c r="U5" i="2"/>
  <c r="U6" i="2" s="1"/>
  <c r="Y7" i="2"/>
  <c r="X5" i="2"/>
  <c r="X6" i="2" s="1"/>
  <c r="V5" i="2"/>
  <c r="V6" i="2" s="1"/>
  <c r="T5" i="2"/>
  <c r="T6" i="2" s="1"/>
  <c r="Z4" i="2"/>
  <c r="U7" i="2"/>
  <c r="F4" i="2"/>
  <c r="T26" i="2" s="1"/>
  <c r="T27" i="2" s="1"/>
  <c r="X7" i="2"/>
  <c r="T7" i="2"/>
  <c r="W5" i="2"/>
  <c r="V7" i="2"/>
  <c r="V34" i="2" l="1"/>
  <c r="AM48" i="2" s="1"/>
  <c r="AM47" i="2"/>
  <c r="T29" i="2"/>
  <c r="T30" i="2" s="1"/>
  <c r="F10" i="2"/>
  <c r="F11" i="2" s="1"/>
  <c r="V33" i="2"/>
  <c r="V18" i="2"/>
  <c r="AM24" i="2" s="1"/>
  <c r="AM23" i="2"/>
  <c r="Z5" i="2"/>
  <c r="F8" i="2"/>
  <c r="Z7" i="2"/>
  <c r="W6" i="2"/>
  <c r="Z6" i="2" s="1"/>
  <c r="F20" i="2"/>
  <c r="G14" i="2" l="1"/>
  <c r="G12" i="2" s="1"/>
  <c r="F13" i="2"/>
  <c r="F12" i="2"/>
  <c r="F14" i="2" s="1"/>
  <c r="F15" i="2" s="1"/>
  <c r="U28" i="2" s="1"/>
  <c r="G4" i="2"/>
  <c r="G8" i="2" s="1"/>
  <c r="U29" i="2" l="1"/>
  <c r="U26" i="2"/>
  <c r="U27" i="2" s="1"/>
  <c r="AL50" i="2"/>
  <c r="G13" i="2"/>
  <c r="G20" i="2"/>
  <c r="G15" i="2"/>
  <c r="AL26" i="2" l="1"/>
  <c r="U12" i="2"/>
  <c r="T13" i="2"/>
  <c r="T14" i="2" s="1"/>
  <c r="AN5" i="2" s="1"/>
  <c r="AM5" i="2" l="1"/>
  <c r="T10" i="2"/>
  <c r="T11" i="2" s="1"/>
  <c r="V17" i="2" l="1"/>
  <c r="U13" i="2"/>
  <c r="AM6" i="2"/>
  <c r="V12" i="2"/>
  <c r="U14" i="2" l="1"/>
  <c r="AN6" i="2" s="1"/>
  <c r="U10" i="2"/>
  <c r="U11" i="2" s="1"/>
  <c r="AL6" i="2" s="1"/>
  <c r="AL5" i="2"/>
  <c r="AL24" i="2"/>
  <c r="W12" i="2"/>
  <c r="V13" i="2"/>
  <c r="AM7" i="2"/>
  <c r="V14" i="2" l="1"/>
  <c r="AN7" i="2" s="1"/>
  <c r="V10" i="2"/>
  <c r="V11" i="2" s="1"/>
  <c r="AL7" i="2" s="1"/>
  <c r="AM8" i="2"/>
  <c r="X12" i="2"/>
  <c r="W13" i="2"/>
  <c r="AM9" i="2" l="1"/>
  <c r="X13" i="2"/>
  <c r="Y12" i="2"/>
  <c r="W10" i="2"/>
  <c r="W11" i="2" s="1"/>
  <c r="AL8" i="2" s="1"/>
  <c r="W14" i="2"/>
  <c r="AN8" i="2" s="1"/>
  <c r="X14" i="2" l="1"/>
  <c r="AN9" i="2" s="1"/>
  <c r="X10" i="2"/>
  <c r="X11" i="2" s="1"/>
  <c r="AL9" i="2" s="1"/>
  <c r="Y13" i="2"/>
  <c r="AM10" i="2"/>
  <c r="Z12" i="2"/>
  <c r="Y14" i="2" l="1"/>
  <c r="AN10" i="2" s="1"/>
  <c r="Y10" i="2"/>
  <c r="Y11" i="2" s="1"/>
  <c r="AL10" i="2" s="1"/>
  <c r="AA12" i="2"/>
  <c r="Z13" i="2"/>
  <c r="AM11" i="2"/>
  <c r="AM12" i="2" l="1"/>
  <c r="AB12" i="2"/>
  <c r="AA13" i="2"/>
  <c r="Z14" i="2"/>
  <c r="AN11" i="2" s="1"/>
  <c r="Z10" i="2"/>
  <c r="Z11" i="2" s="1"/>
  <c r="AL11" i="2" s="1"/>
  <c r="AA10" i="2" l="1"/>
  <c r="AA11" i="2" s="1"/>
  <c r="AL12" i="2" s="1"/>
  <c r="AA14" i="2"/>
  <c r="AN12" i="2" s="1"/>
  <c r="AB13" i="2"/>
  <c r="AM13" i="2"/>
  <c r="AC12" i="2"/>
  <c r="AB10" i="2" l="1"/>
  <c r="AB11" i="2" s="1"/>
  <c r="AL13" i="2" s="1"/>
  <c r="AB14" i="2"/>
  <c r="AN13" i="2" s="1"/>
  <c r="AD12" i="2"/>
  <c r="AC13" i="2"/>
  <c r="AM14" i="2"/>
  <c r="AM15" i="2" l="1"/>
  <c r="AE12" i="2"/>
  <c r="AD13" i="2"/>
  <c r="AC10" i="2"/>
  <c r="AC11" i="2" s="1"/>
  <c r="AL14" i="2" s="1"/>
  <c r="AC14" i="2"/>
  <c r="AN14" i="2" s="1"/>
  <c r="AD14" i="2" l="1"/>
  <c r="AD10" i="2"/>
  <c r="AD11" i="2" s="1"/>
  <c r="AL15" i="2" s="1"/>
  <c r="AE13" i="2"/>
  <c r="AF12" i="2"/>
  <c r="AM16" i="2"/>
  <c r="AE10" i="2" l="1"/>
  <c r="AE11" i="2" s="1"/>
  <c r="AL16" i="2" s="1"/>
  <c r="AE14" i="2"/>
  <c r="AN16" i="2" s="1"/>
  <c r="AF13" i="2"/>
  <c r="AG12" i="2"/>
  <c r="AM17" i="2"/>
  <c r="AM26" i="2" s="1"/>
  <c r="AM18" i="2" l="1"/>
  <c r="AH12" i="2"/>
  <c r="AG13" i="2"/>
  <c r="AF10" i="2"/>
  <c r="AF11" i="2" s="1"/>
  <c r="AL17" i="2" s="1"/>
  <c r="AF14" i="2"/>
  <c r="AN17" i="2" s="1"/>
  <c r="AG10" i="2" l="1"/>
  <c r="AG11" i="2" s="1"/>
  <c r="AL18" i="2" s="1"/>
  <c r="AG14" i="2"/>
  <c r="AN18" i="2" s="1"/>
  <c r="AH13" i="2"/>
  <c r="AM19" i="2"/>
  <c r="AI12" i="2"/>
  <c r="AH10" i="2" l="1"/>
  <c r="AH11" i="2" s="1"/>
  <c r="AL19" i="2" s="1"/>
  <c r="AH14" i="2"/>
  <c r="AN19" i="2" s="1"/>
  <c r="AM20" i="2"/>
  <c r="AJ12" i="2"/>
  <c r="AI13" i="2"/>
  <c r="AJ13" i="2" l="1"/>
  <c r="AM21" i="2"/>
  <c r="AI14" i="2"/>
  <c r="AN20" i="2" s="1"/>
  <c r="AI10" i="2"/>
  <c r="AI11" i="2" s="1"/>
  <c r="AL20" i="2" s="1"/>
  <c r="AJ14" i="2" l="1"/>
  <c r="AN21" i="2" s="1"/>
  <c r="AJ10" i="2"/>
  <c r="AJ11" i="2" s="1"/>
  <c r="AL21" i="2" s="1"/>
  <c r="U30" i="2" l="1"/>
  <c r="AN30" i="2" s="1"/>
  <c r="AN29" i="2"/>
  <c r="V28" i="2"/>
  <c r="AM29" i="2"/>
  <c r="V29" i="2" l="1"/>
  <c r="V26" i="2"/>
  <c r="V27" i="2" s="1"/>
  <c r="AL29" i="2"/>
  <c r="AL48" i="2"/>
  <c r="AM31" i="2"/>
  <c r="W28" i="2"/>
  <c r="AM30" i="2"/>
  <c r="AL30" i="2"/>
  <c r="W26" i="2" l="1"/>
  <c r="W27" i="2" s="1"/>
  <c r="W29" i="2"/>
  <c r="AL31" i="2"/>
  <c r="V30" i="2"/>
  <c r="AN31" i="2" s="1"/>
  <c r="AM32" i="2"/>
  <c r="X28" i="2"/>
  <c r="X29" i="2" l="1"/>
  <c r="X26" i="2"/>
  <c r="X27" i="2" s="1"/>
  <c r="AL32" i="2"/>
  <c r="W30" i="2"/>
  <c r="AN32" i="2" s="1"/>
  <c r="AM33" i="2"/>
  <c r="Y28" i="2"/>
  <c r="Y29" i="2" l="1"/>
  <c r="Y26" i="2"/>
  <c r="Y27" i="2" s="1"/>
  <c r="AM34" i="2"/>
  <c r="Z28" i="2"/>
  <c r="AL33" i="2"/>
  <c r="X30" i="2"/>
  <c r="AN33" i="2" s="1"/>
  <c r="Z29" i="2" l="1"/>
  <c r="Z26" i="2"/>
  <c r="Z27" i="2" s="1"/>
  <c r="AM35" i="2"/>
  <c r="AA28" i="2"/>
  <c r="Y30" i="2"/>
  <c r="AN34" i="2" s="1"/>
  <c r="AL34" i="2"/>
  <c r="AA26" i="2" l="1"/>
  <c r="AA27" i="2" s="1"/>
  <c r="AA29" i="2"/>
  <c r="AB28" i="2"/>
  <c r="AM36" i="2"/>
  <c r="AL35" i="2"/>
  <c r="Z30" i="2"/>
  <c r="AN35" i="2" s="1"/>
  <c r="AB29" i="2" l="1"/>
  <c r="AB26" i="2"/>
  <c r="AB27" i="2" s="1"/>
  <c r="AA30" i="2"/>
  <c r="AN36" i="2" s="1"/>
  <c r="AL36" i="2"/>
  <c r="AC28" i="2"/>
  <c r="AM37" i="2"/>
  <c r="AC29" i="2" l="1"/>
  <c r="AC26" i="2"/>
  <c r="AC27" i="2" s="1"/>
  <c r="AB30" i="2"/>
  <c r="AN37" i="2" s="1"/>
  <c r="AL37" i="2"/>
  <c r="AD28" i="2"/>
  <c r="AM38" i="2"/>
  <c r="AD29" i="2" l="1"/>
  <c r="AD26" i="2"/>
  <c r="AD27" i="2" s="1"/>
  <c r="AL38" i="2"/>
  <c r="AC30" i="2"/>
  <c r="AN38" i="2" s="1"/>
  <c r="AE28" i="2"/>
  <c r="AM39" i="2"/>
  <c r="AE26" i="2" l="1"/>
  <c r="AE27" i="2" s="1"/>
  <c r="AE29" i="2"/>
  <c r="AF28" i="2"/>
  <c r="AM40" i="2"/>
  <c r="AL39" i="2"/>
  <c r="AD30" i="2"/>
  <c r="AN39" i="2" s="1"/>
  <c r="AF29" i="2" l="1"/>
  <c r="AF26" i="2"/>
  <c r="AF27" i="2" s="1"/>
  <c r="AM41" i="2"/>
  <c r="AM50" i="2" s="1"/>
  <c r="AG28" i="2"/>
  <c r="AE30" i="2"/>
  <c r="AN40" i="2" s="1"/>
  <c r="AL40" i="2"/>
  <c r="AG29" i="2" l="1"/>
  <c r="AG26" i="2"/>
  <c r="AG27" i="2" s="1"/>
  <c r="AH28" i="2"/>
  <c r="AM42" i="2"/>
  <c r="AL41" i="2"/>
  <c r="AF30" i="2"/>
  <c r="AN41" i="2" s="1"/>
  <c r="AH29" i="2" l="1"/>
  <c r="AH26" i="2"/>
  <c r="AH27" i="2" s="1"/>
  <c r="AI28" i="2"/>
  <c r="AM43" i="2"/>
  <c r="AL42" i="2"/>
  <c r="AG30" i="2"/>
  <c r="AN42" i="2" s="1"/>
  <c r="AI26" i="2" l="1"/>
  <c r="AI27" i="2" s="1"/>
  <c r="AI29" i="2"/>
  <c r="AM44" i="2"/>
  <c r="AJ28" i="2"/>
  <c r="AH30" i="2"/>
  <c r="AN43" i="2" s="1"/>
  <c r="AL43" i="2"/>
  <c r="AJ26" i="2" l="1"/>
  <c r="AJ27" i="2" s="1"/>
  <c r="AJ29" i="2"/>
  <c r="AM45" i="2"/>
  <c r="AI30" i="2"/>
  <c r="AN44" i="2" s="1"/>
  <c r="AL44" i="2"/>
  <c r="AL45" i="2" l="1"/>
  <c r="AJ30" i="2"/>
  <c r="AN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tc={62F21D2A-8073-4128-BCDC-74C2804E09B0}</author>
  </authors>
  <commentList>
    <comment ref="I8" authorId="0" shapeId="0" xr:uid="{62F21D2A-8073-4128-BCDC-74C2804E09B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Critério Generalizado Hoek-Brown</t>
      </text>
    </comment>
  </commentList>
</comments>
</file>

<file path=xl/sharedStrings.xml><?xml version="1.0" encoding="utf-8"?>
<sst xmlns="http://schemas.openxmlformats.org/spreadsheetml/2006/main" count="235" uniqueCount="177">
  <si>
    <t>MPa</t>
  </si>
  <si>
    <t>m</t>
  </si>
  <si>
    <t>sig3</t>
  </si>
  <si>
    <t>sig1</t>
  </si>
  <si>
    <t>sig3sig1</t>
  </si>
  <si>
    <t>sig3sq</t>
  </si>
  <si>
    <t>Tipo A</t>
  </si>
  <si>
    <t>Tipo B</t>
  </si>
  <si>
    <t>Tipo C</t>
  </si>
  <si>
    <t>Tipo D</t>
  </si>
  <si>
    <t>Tipo E</t>
  </si>
  <si>
    <t>Tipo F</t>
  </si>
  <si>
    <t>Tipo G</t>
  </si>
  <si>
    <t>Tipo H</t>
  </si>
  <si>
    <t>Tipo I</t>
  </si>
  <si>
    <t>Tipo J</t>
  </si>
  <si>
    <t>Tipo K</t>
  </si>
  <si>
    <t>Tipo RCA</t>
  </si>
  <si>
    <t>Tipo RCB</t>
  </si>
  <si>
    <t>Tipo RCC</t>
  </si>
  <si>
    <t>Tipo RCD</t>
  </si>
  <si>
    <t>Tipo RCE</t>
  </si>
  <si>
    <t>Tipo RCF</t>
  </si>
  <si>
    <t>Tipo RCG</t>
  </si>
  <si>
    <t>Tipo RCH</t>
  </si>
  <si>
    <t>Tipo RCI</t>
  </si>
  <si>
    <t>Tipo RCJ</t>
  </si>
  <si>
    <t>Tipo CA</t>
  </si>
  <si>
    <t>Tipo CB</t>
  </si>
  <si>
    <t>Tipo CC</t>
  </si>
  <si>
    <t>Tipo CD</t>
  </si>
  <si>
    <t>Tipo CE</t>
  </si>
  <si>
    <t>Tipo CF</t>
  </si>
  <si>
    <t>Tipo CG</t>
  </si>
  <si>
    <t>Entrada de dados obtidos em ensaios laboratoriais:</t>
  </si>
  <si>
    <t>graus</t>
  </si>
  <si>
    <t>Coesão</t>
  </si>
  <si>
    <t>Total</t>
  </si>
  <si>
    <t>Cálculos</t>
  </si>
  <si>
    <t>Parâmetro</t>
  </si>
  <si>
    <t>Material</t>
  </si>
  <si>
    <t>Granodiorito</t>
  </si>
  <si>
    <t>GSI</t>
  </si>
  <si>
    <r>
      <t>MN/m</t>
    </r>
    <r>
      <rPr>
        <vertAlign val="superscript"/>
        <sz val="11"/>
        <color theme="1"/>
        <rFont val="Calibri"/>
        <family val="2"/>
        <scheme val="minor"/>
      </rPr>
      <t xml:space="preserve">3 </t>
    </r>
  </si>
  <si>
    <r>
      <t>Peso específico do material rochoso (</t>
    </r>
    <r>
      <rPr>
        <i/>
        <sz val="11"/>
        <color theme="1"/>
        <rFont val="Times New Roman"/>
        <family val="1"/>
      </rPr>
      <t>y</t>
    </r>
    <r>
      <rPr>
        <sz val="11"/>
        <color theme="1"/>
        <rFont val="Calibri"/>
        <family val="2"/>
        <scheme val="minor"/>
      </rPr>
      <t>)</t>
    </r>
  </si>
  <si>
    <r>
      <t>Profundidade abaixo da superfície (</t>
    </r>
    <r>
      <rPr>
        <i/>
        <sz val="11"/>
        <color theme="1"/>
        <rFont val="Times New Roman"/>
        <family val="1"/>
      </rPr>
      <t>z</t>
    </r>
    <r>
      <rPr>
        <sz val="11"/>
        <color theme="1"/>
        <rFont val="Calibri"/>
        <family val="2"/>
        <scheme val="minor"/>
      </rPr>
      <t>)</t>
    </r>
  </si>
  <si>
    <r>
      <t xml:space="preserve">Tensão </t>
    </r>
    <r>
      <rPr>
        <i/>
        <sz val="11"/>
        <color theme="1"/>
        <rFont val="Calibri"/>
        <family val="2"/>
        <scheme val="minor"/>
      </rPr>
      <t>in situ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Times New Roman"/>
        <family val="1"/>
      </rPr>
      <t>p</t>
    </r>
    <r>
      <rPr>
        <i/>
        <vertAlign val="subscript"/>
        <sz val="11"/>
        <color theme="1"/>
        <rFont val="Times New Roman"/>
        <family val="1"/>
      </rPr>
      <t>o</t>
    </r>
    <r>
      <rPr>
        <sz val="11"/>
        <color theme="1"/>
        <rFont val="Calibri"/>
        <family val="2"/>
        <scheme val="minor"/>
      </rPr>
      <t>)</t>
    </r>
  </si>
  <si>
    <t>Zona de falha</t>
  </si>
  <si>
    <r>
      <rPr>
        <b/>
        <i/>
        <sz val="11"/>
        <color theme="1"/>
        <rFont val="Times New Roman"/>
        <family val="1"/>
      </rPr>
      <t>σ</t>
    </r>
    <r>
      <rPr>
        <b/>
        <i/>
        <vertAlign val="subscript"/>
        <sz val="11"/>
        <color theme="1"/>
        <rFont val="Times New Roman"/>
        <family val="1"/>
      </rPr>
      <t>ci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(MPa)</t>
    </r>
  </si>
  <si>
    <r>
      <t>m</t>
    </r>
    <r>
      <rPr>
        <b/>
        <i/>
        <vertAlign val="subscript"/>
        <sz val="11"/>
        <color theme="1"/>
        <rFont val="Times New Roman"/>
        <family val="1"/>
      </rPr>
      <t>i</t>
    </r>
  </si>
  <si>
    <r>
      <t>σ</t>
    </r>
    <r>
      <rPr>
        <b/>
        <i/>
        <vertAlign val="subscript"/>
        <sz val="11"/>
        <color theme="1"/>
        <rFont val="Times New Roman"/>
        <family val="1"/>
      </rPr>
      <t>cm</t>
    </r>
  </si>
  <si>
    <r>
      <rPr>
        <b/>
        <i/>
        <sz val="11"/>
        <color theme="1"/>
        <rFont val="Times New Roman"/>
        <family val="1"/>
      </rPr>
      <t>σ</t>
    </r>
    <r>
      <rPr>
        <b/>
        <i/>
        <vertAlign val="subscript"/>
        <sz val="11"/>
        <color theme="1"/>
        <rFont val="Times New Roman"/>
        <family val="1"/>
      </rPr>
      <t>cm</t>
    </r>
    <r>
      <rPr>
        <b/>
        <sz val="11"/>
        <color theme="1"/>
        <rFont val="Calibri"/>
        <family val="2"/>
        <scheme val="minor"/>
      </rPr>
      <t>/</t>
    </r>
    <r>
      <rPr>
        <b/>
        <i/>
        <sz val="11"/>
        <color theme="1"/>
        <rFont val="Times New Roman"/>
        <family val="1"/>
      </rPr>
      <t>p</t>
    </r>
    <r>
      <rPr>
        <b/>
        <i/>
        <vertAlign val="subscript"/>
        <sz val="11"/>
        <color theme="1"/>
        <rFont val="Times New Roman"/>
        <family val="1"/>
      </rPr>
      <t>o</t>
    </r>
  </si>
  <si>
    <t>s</t>
  </si>
  <si>
    <t>a</t>
  </si>
  <si>
    <r>
      <t>m</t>
    </r>
    <r>
      <rPr>
        <b/>
        <i/>
        <vertAlign val="subscript"/>
        <sz val="11"/>
        <color theme="1"/>
        <rFont val="Times New Roman"/>
        <family val="1"/>
      </rPr>
      <t>b</t>
    </r>
  </si>
  <si>
    <t>Legenda:</t>
  </si>
  <si>
    <t>Entrada de dados</t>
  </si>
  <si>
    <t>Resultados obtidos através das fórmulas estudadas</t>
  </si>
  <si>
    <r>
      <t>Pressão interna de suporte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Times New Roman"/>
        <family val="1"/>
      </rPr>
      <t>p</t>
    </r>
    <r>
      <rPr>
        <i/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Calibri"/>
        <family val="2"/>
        <scheme val="minor"/>
      </rPr>
      <t>)</t>
    </r>
  </si>
  <si>
    <t>Análise do material da zona de falha</t>
  </si>
  <si>
    <r>
      <t>Deformação da parede do túnel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Times New Roman"/>
        <family val="1"/>
      </rPr>
      <t>u</t>
    </r>
    <r>
      <rPr>
        <i/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Calibri"/>
        <family val="2"/>
        <scheme val="minor"/>
      </rPr>
      <t>)</t>
    </r>
  </si>
  <si>
    <r>
      <t xml:space="preserve">Tensão </t>
    </r>
    <r>
      <rPr>
        <i/>
        <sz val="11"/>
        <color theme="1"/>
        <rFont val="Times New Roman"/>
        <family val="1"/>
      </rPr>
      <t>σ</t>
    </r>
    <r>
      <rPr>
        <i/>
        <vertAlign val="subscript"/>
        <sz val="11"/>
        <color theme="1"/>
        <rFont val="Times New Roman"/>
        <family val="1"/>
      </rPr>
      <t>3max</t>
    </r>
  </si>
  <si>
    <r>
      <rPr>
        <sz val="11"/>
        <color theme="1"/>
        <rFont val="Calibri"/>
        <family val="2"/>
        <scheme val="minor"/>
      </rPr>
      <t xml:space="preserve">Constante </t>
    </r>
    <r>
      <rPr>
        <i/>
        <sz val="11"/>
        <color theme="1"/>
        <rFont val="Times New Roman"/>
        <family val="1"/>
      </rPr>
      <t>k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da rocha</t>
    </r>
  </si>
  <si>
    <r>
      <t>Pressão crítica de suporte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Times New Roman"/>
        <family val="1"/>
      </rPr>
      <t>p</t>
    </r>
    <r>
      <rPr>
        <i/>
        <vertAlign val="subscript"/>
        <sz val="11"/>
        <color theme="1"/>
        <rFont val="Times New Roman"/>
        <family val="1"/>
      </rPr>
      <t>cr</t>
    </r>
    <r>
      <rPr>
        <sz val="11"/>
        <color theme="1"/>
        <rFont val="Calibri"/>
        <family val="2"/>
        <scheme val="minor"/>
      </rPr>
      <t>)</t>
    </r>
  </si>
  <si>
    <r>
      <t xml:space="preserve">Tensão </t>
    </r>
    <r>
      <rPr>
        <i/>
        <sz val="11"/>
        <color theme="1"/>
        <rFont val="Times New Roman"/>
        <family val="1"/>
      </rPr>
      <t>σ</t>
    </r>
    <r>
      <rPr>
        <i/>
        <vertAlign val="subscript"/>
        <sz val="11"/>
        <color theme="1"/>
        <rFont val="Times New Roman"/>
        <family val="1"/>
      </rPr>
      <t>3n</t>
    </r>
  </si>
  <si>
    <t>%</t>
  </si>
  <si>
    <r>
      <t>Percentagem deformação total túnel (</t>
    </r>
    <r>
      <rPr>
        <i/>
        <sz val="11"/>
        <color theme="1"/>
        <rFont val="Times New Roman"/>
        <family val="1"/>
      </rPr>
      <t>ε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</si>
  <si>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Módulo de Young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Times New Roman"/>
        <family val="1"/>
      </rPr>
      <t>E</t>
    </r>
    <r>
      <rPr>
        <sz val="11"/>
        <color theme="1"/>
        <rFont val="Arial"/>
        <family val="2"/>
      </rPr>
      <t>)</t>
    </r>
  </si>
  <si>
    <t>Análise para instalação do suporte</t>
  </si>
  <si>
    <r>
      <t>Pressão interna de suporte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Times New Roman"/>
        <family val="1"/>
      </rPr>
      <t>p</t>
    </r>
    <r>
      <rPr>
        <i/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necessária</t>
    </r>
  </si>
  <si>
    <t>Espaçamento dos suportes a serem instalados</t>
  </si>
  <si>
    <t>Entrada de dados obtidos em campo:</t>
  </si>
  <si>
    <t>Análise do maciço rochoso</t>
  </si>
  <si>
    <t>Entrada de dados relacionados ao suporte:</t>
  </si>
  <si>
    <t>Espaçamento dos suportes do túnel a ser instalado (m)</t>
  </si>
  <si>
    <t>Pressão máxima de suporte (MPa)</t>
  </si>
  <si>
    <t>Convergência inicial (%)</t>
  </si>
  <si>
    <t>Tipo de Suporte</t>
  </si>
  <si>
    <t>Convergência do túnel ui (m) =</t>
  </si>
  <si>
    <t>Convergência do túnel (%) =</t>
  </si>
  <si>
    <t>Pressão de suporte pi (MPa) =</t>
  </si>
  <si>
    <t>Raio da zona plástica rp (m) =</t>
  </si>
  <si>
    <t>Espessura da zona plástica (m) =</t>
  </si>
  <si>
    <t>Cálculo reação de suporte</t>
  </si>
  <si>
    <t>UCS (MPa)</t>
  </si>
  <si>
    <t>Código do suporte</t>
  </si>
  <si>
    <t>Tipo de suporte (Selecionar código do suporte)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</si>
  <si>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(Mpa)</t>
    </r>
  </si>
  <si>
    <t>A pressão fornecida pelo suporte é zero na convergência inicial (uio=5%), que é a deformação (lembrando que 1/3 de ε já ocorreu) na qual o suporte é instalado.</t>
  </si>
  <si>
    <t>A pressão máxima de suporte é alcançada quando a convergência do túnel é igual à convergência inicial mais a tensão máxima média do sistema de suporte.</t>
  </si>
  <si>
    <t>Assume-se que o suporte rompe plasticamente e que a pressão máxima de suporte permanece constante após o suporte atingir sua capacidade máxima.</t>
  </si>
  <si>
    <r>
      <t>Raio da zona plástica ao redor do túnel (</t>
    </r>
    <r>
      <rPr>
        <i/>
        <sz val="11"/>
        <color theme="1"/>
        <rFont val="Times New Roman"/>
        <family val="1"/>
      </rPr>
      <t>r</t>
    </r>
    <r>
      <rPr>
        <i/>
        <vertAlign val="subscript"/>
        <sz val="11"/>
        <color theme="1"/>
        <rFont val="Times New Roman"/>
        <family val="1"/>
      </rPr>
      <t>p</t>
    </r>
    <r>
      <rPr>
        <sz val="11"/>
        <color theme="1"/>
        <rFont val="Calibri"/>
        <family val="2"/>
        <scheme val="minor"/>
      </rPr>
      <t>)</t>
    </r>
  </si>
  <si>
    <r>
      <t>Fator de perturbação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</t>
    </r>
  </si>
  <si>
    <r>
      <t>Diâmetro do túnel (</t>
    </r>
    <r>
      <rPr>
        <i/>
        <sz val="11"/>
        <color theme="1"/>
        <rFont val="Times New Roman"/>
        <family val="1"/>
      </rPr>
      <t>D</t>
    </r>
    <r>
      <rPr>
        <i/>
        <vertAlign val="subscript"/>
        <sz val="11"/>
        <color theme="1"/>
        <rFont val="Times New Roman"/>
        <family val="1"/>
      </rPr>
      <t>o</t>
    </r>
    <r>
      <rPr>
        <sz val="11"/>
        <color theme="1"/>
        <rFont val="Calibri"/>
        <family val="2"/>
        <scheme val="minor"/>
      </rPr>
      <t>)</t>
    </r>
  </si>
  <si>
    <r>
      <t>Raio do túnel original (</t>
    </r>
    <r>
      <rPr>
        <i/>
        <sz val="11"/>
        <color theme="1"/>
        <rFont val="Times New Roman"/>
        <family val="1"/>
      </rPr>
      <t>r</t>
    </r>
    <r>
      <rPr>
        <i/>
        <vertAlign val="subscript"/>
        <sz val="11"/>
        <color theme="1"/>
        <rFont val="Times New Roman"/>
        <family val="1"/>
      </rPr>
      <t>o</t>
    </r>
    <r>
      <rPr>
        <sz val="11"/>
        <color theme="1"/>
        <rFont val="Calibri"/>
        <family val="2"/>
        <scheme val="minor"/>
      </rPr>
      <t>)</t>
    </r>
  </si>
  <si>
    <r>
      <rPr>
        <sz val="11"/>
        <color theme="1"/>
        <rFont val="Calibri"/>
        <family val="2"/>
        <scheme val="minor"/>
      </rPr>
      <t>Ângulo de atrito</t>
    </r>
    <r>
      <rPr>
        <sz val="11"/>
        <color theme="1"/>
        <rFont val="Arial"/>
        <family val="2"/>
      </rPr>
      <t xml:space="preserve"> (</t>
    </r>
    <r>
      <rPr>
        <sz val="11"/>
        <color theme="1"/>
        <rFont val="Times New Roman"/>
        <family val="1"/>
      </rPr>
      <t>ф</t>
    </r>
    <r>
      <rPr>
        <sz val="11"/>
        <color theme="1"/>
        <rFont val="Arial"/>
        <family val="2"/>
      </rPr>
      <t>)</t>
    </r>
  </si>
  <si>
    <t>Profundidade da seção (mm)</t>
  </si>
  <si>
    <t>Peso (kg/m)</t>
  </si>
  <si>
    <t>Número da curva</t>
  </si>
  <si>
    <t>Espessura (mm)</t>
  </si>
  <si>
    <t>Idade (dias)</t>
  </si>
  <si>
    <t>Largura da flange/aba (mm)</t>
  </si>
  <si>
    <r>
      <t>p</t>
    </r>
    <r>
      <rPr>
        <b/>
        <i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(MPa)</t>
    </r>
  </si>
  <si>
    <t>Viga com abas largas</t>
  </si>
  <si>
    <t>Viga em treliça de 3 barras</t>
  </si>
  <si>
    <t>Viga em treliça de 4 barras</t>
  </si>
  <si>
    <t>Revestimento de concreto ou concreto projetado</t>
  </si>
  <si>
    <t>22mm fibra de vidro</t>
  </si>
  <si>
    <t>Cabo simples</t>
  </si>
  <si>
    <t>Valor</t>
  </si>
  <si>
    <t>Unidade</t>
  </si>
  <si>
    <t>Friso com perfil I</t>
  </si>
  <si>
    <t>Friso com perfil TH</t>
  </si>
  <si>
    <t>Rockbolts ou cabos espaçados numa malha de s x s metros</t>
  </si>
  <si>
    <r>
      <t xml:space="preserve">34 mm </t>
    </r>
    <r>
      <rPr>
        <i/>
        <sz val="10"/>
        <color theme="1"/>
        <rFont val="Calibri"/>
        <family val="2"/>
        <scheme val="minor"/>
      </rPr>
      <t>rockbolt</t>
    </r>
  </si>
  <si>
    <r>
      <t xml:space="preserve">25 mm </t>
    </r>
    <r>
      <rPr>
        <i/>
        <sz val="10"/>
        <color theme="1"/>
        <rFont val="Calibri"/>
        <family val="2"/>
        <scheme val="minor"/>
      </rPr>
      <t>rockbolt</t>
    </r>
  </si>
  <si>
    <r>
      <t xml:space="preserve">19 mm </t>
    </r>
    <r>
      <rPr>
        <i/>
        <sz val="10"/>
        <color theme="1"/>
        <rFont val="Calibri"/>
        <family val="2"/>
        <scheme val="minor"/>
      </rPr>
      <t>rockbolt</t>
    </r>
  </si>
  <si>
    <r>
      <t xml:space="preserve">17 mm </t>
    </r>
    <r>
      <rPr>
        <i/>
        <sz val="10"/>
        <color theme="1"/>
        <rFont val="Calibri"/>
        <family val="2"/>
        <scheme val="minor"/>
      </rPr>
      <t>rockbolt</t>
    </r>
  </si>
  <si>
    <r>
      <t xml:space="preserve">SS39 </t>
    </r>
    <r>
      <rPr>
        <i/>
        <sz val="10"/>
        <color theme="1"/>
        <rFont val="Calibri"/>
        <family val="2"/>
        <scheme val="minor"/>
      </rPr>
      <t>Split set</t>
    </r>
  </si>
  <si>
    <r>
      <t xml:space="preserve">EXX </t>
    </r>
    <r>
      <rPr>
        <i/>
        <sz val="10"/>
        <color theme="1"/>
        <rFont val="Calibri"/>
        <family val="2"/>
        <scheme val="minor"/>
      </rPr>
      <t>Swellex</t>
    </r>
  </si>
  <si>
    <r>
      <t xml:space="preserve">20mm </t>
    </r>
    <r>
      <rPr>
        <i/>
        <sz val="10"/>
        <color theme="1"/>
        <rFont val="Calibri"/>
        <family val="2"/>
        <scheme val="minor"/>
      </rPr>
      <t>rebar</t>
    </r>
  </si>
  <si>
    <t>Cabo Simples</t>
  </si>
  <si>
    <r>
      <t xml:space="preserve">Cabo </t>
    </r>
    <r>
      <rPr>
        <i/>
        <sz val="10"/>
        <color theme="1"/>
        <rFont val="Calibri"/>
        <family val="2"/>
        <scheme val="minor"/>
      </rPr>
      <t>Birdcage</t>
    </r>
  </si>
  <si>
    <t>Gráfico 1</t>
  </si>
  <si>
    <r>
      <t>p</t>
    </r>
    <r>
      <rPr>
        <b/>
        <i/>
        <vertAlign val="subscript"/>
        <sz val="11"/>
        <rFont val="Calibri"/>
        <family val="2"/>
        <scheme val="minor"/>
      </rPr>
      <t>i</t>
    </r>
    <r>
      <rPr>
        <b/>
        <sz val="11"/>
        <rFont val="Calibri"/>
        <family val="2"/>
        <scheme val="minor"/>
      </rPr>
      <t xml:space="preserve"> 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 (MPa)</t>
    </r>
  </si>
  <si>
    <r>
      <t xml:space="preserve">Tensão </t>
    </r>
    <r>
      <rPr>
        <i/>
        <sz val="11"/>
        <rFont val="Arial"/>
        <family val="2"/>
      </rPr>
      <t>in situ</t>
    </r>
    <r>
      <rPr>
        <sz val="11"/>
        <rFont val="Arial"/>
        <family val="2"/>
      </rPr>
      <t xml:space="preserve"> 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o</t>
    </r>
    <r>
      <rPr>
        <sz val="11"/>
        <rFont val="Arial"/>
        <family val="2"/>
      </rPr>
      <t xml:space="preserve"> (MPa)</t>
    </r>
  </si>
  <si>
    <r>
      <t xml:space="preserve">Profundidade abaixo da superfície </t>
    </r>
    <r>
      <rPr>
        <i/>
        <sz val="11"/>
        <rFont val="Times New Roman"/>
        <family val="1"/>
      </rPr>
      <t>z</t>
    </r>
    <r>
      <rPr>
        <sz val="11"/>
        <rFont val="Arial"/>
        <family val="2"/>
      </rPr>
      <t xml:space="preserve"> (m)</t>
    </r>
  </si>
  <si>
    <r>
      <t xml:space="preserve">Resistência </t>
    </r>
    <r>
      <rPr>
        <i/>
        <sz val="11"/>
        <rFont val="Times New Roman"/>
        <family val="1"/>
      </rPr>
      <t>σ</t>
    </r>
    <r>
      <rPr>
        <i/>
        <vertAlign val="subscript"/>
        <sz val="11"/>
        <rFont val="Times New Roman"/>
        <family val="1"/>
      </rPr>
      <t>cm</t>
    </r>
    <r>
      <rPr>
        <sz val="11"/>
        <rFont val="Arial"/>
        <family val="2"/>
      </rPr>
      <t xml:space="preserve"> (MPa)</t>
    </r>
  </si>
  <si>
    <r>
      <t>GSI (</t>
    </r>
    <r>
      <rPr>
        <i/>
        <sz val="11"/>
        <rFont val="Arial"/>
        <family val="2"/>
      </rPr>
      <t>Geological Strenght Index</t>
    </r>
    <r>
      <rPr>
        <sz val="11"/>
        <rFont val="Arial"/>
        <family val="2"/>
      </rPr>
      <t>)</t>
    </r>
  </si>
  <si>
    <r>
      <t>Constante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m</t>
    </r>
    <r>
      <rPr>
        <i/>
        <vertAlign val="subscript"/>
        <sz val="11"/>
        <rFont val="Times New Roman"/>
        <family val="1"/>
      </rPr>
      <t>b</t>
    </r>
    <r>
      <rPr>
        <sz val="11"/>
        <rFont val="Arial"/>
        <family val="2"/>
      </rPr>
      <t xml:space="preserve"> da rocha</t>
    </r>
  </si>
  <si>
    <r>
      <t xml:space="preserve">Diâmetro do túnel </t>
    </r>
    <r>
      <rPr>
        <i/>
        <sz val="11"/>
        <rFont val="Times New Roman"/>
        <family val="1"/>
      </rPr>
      <t>D</t>
    </r>
    <r>
      <rPr>
        <i/>
        <vertAlign val="subscript"/>
        <sz val="11"/>
        <rFont val="Times New Roman"/>
        <family val="1"/>
      </rPr>
      <t>o</t>
    </r>
    <r>
      <rPr>
        <sz val="11"/>
        <rFont val="Arial"/>
        <family val="2"/>
      </rPr>
      <t xml:space="preserve"> (m)</t>
    </r>
  </si>
  <si>
    <r>
      <t xml:space="preserve">Constante </t>
    </r>
    <r>
      <rPr>
        <i/>
        <sz val="11"/>
        <rFont val="Times New Roman"/>
        <family val="1"/>
      </rPr>
      <t>s</t>
    </r>
    <r>
      <rPr>
        <sz val="11"/>
        <rFont val="Arial"/>
        <family val="2"/>
      </rPr>
      <t xml:space="preserve"> da rocha</t>
    </r>
  </si>
  <si>
    <r>
      <rPr>
        <sz val="11"/>
        <rFont val="Calibri"/>
        <family val="2"/>
        <scheme val="minor"/>
      </rPr>
      <t xml:space="preserve">Friso com perfil </t>
    </r>
    <r>
      <rPr>
        <sz val="11"/>
        <rFont val="Times New Roman"/>
        <family val="1"/>
      </rPr>
      <t>I</t>
    </r>
  </si>
  <si>
    <r>
      <t>Constante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</t>
    </r>
    <r>
      <rPr>
        <sz val="11"/>
        <rFont val="Arial"/>
        <family val="2"/>
      </rPr>
      <t xml:space="preserve"> da rocha</t>
    </r>
  </si>
  <si>
    <r>
      <t xml:space="preserve">Razão </t>
    </r>
    <r>
      <rPr>
        <i/>
        <sz val="11"/>
        <rFont val="Times New Roman"/>
        <family val="1"/>
      </rPr>
      <t>σ</t>
    </r>
    <r>
      <rPr>
        <i/>
        <vertAlign val="subscript"/>
        <sz val="11"/>
        <rFont val="Times New Roman"/>
        <family val="1"/>
      </rPr>
      <t>cm</t>
    </r>
    <r>
      <rPr>
        <b/>
        <sz val="11"/>
        <rFont val="Arial"/>
        <family val="2"/>
      </rPr>
      <t>/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o</t>
    </r>
  </si>
  <si>
    <r>
      <t xml:space="preserve">Friso com perfil </t>
    </r>
    <r>
      <rPr>
        <sz val="11"/>
        <rFont val="Times New Roman"/>
        <family val="1"/>
      </rPr>
      <t>TH</t>
    </r>
  </si>
  <si>
    <r>
      <t xml:space="preserve">Raio do túnel original </t>
    </r>
    <r>
      <rPr>
        <sz val="11"/>
        <rFont val="Times New Roman"/>
        <family val="1"/>
      </rPr>
      <t>r</t>
    </r>
    <r>
      <rPr>
        <i/>
        <vertAlign val="subscript"/>
        <sz val="11"/>
        <rFont val="Times New Roman"/>
        <family val="1"/>
      </rPr>
      <t>o</t>
    </r>
    <r>
      <rPr>
        <sz val="11"/>
        <rFont val="Arial"/>
        <family val="2"/>
      </rPr>
      <t xml:space="preserve"> (m)</t>
    </r>
  </si>
  <si>
    <r>
      <t xml:space="preserve">Resistência à compressão uniaxial </t>
    </r>
    <r>
      <rPr>
        <i/>
        <sz val="11"/>
        <rFont val="Times New Roman"/>
        <family val="1"/>
      </rPr>
      <t>σ</t>
    </r>
    <r>
      <rPr>
        <i/>
        <vertAlign val="subscript"/>
        <sz val="11"/>
        <rFont val="Times New Roman"/>
        <family val="1"/>
      </rPr>
      <t>ci</t>
    </r>
    <r>
      <rPr>
        <sz val="11"/>
        <rFont val="Arial"/>
        <family val="2"/>
      </rPr>
      <t xml:space="preserve"> (MPa)</t>
    </r>
  </si>
  <si>
    <r>
      <t xml:space="preserve">Tensão </t>
    </r>
    <r>
      <rPr>
        <i/>
        <sz val="11"/>
        <rFont val="Times New Roman"/>
        <family val="1"/>
      </rPr>
      <t>σ</t>
    </r>
    <r>
      <rPr>
        <i/>
        <vertAlign val="subscript"/>
        <sz val="11"/>
        <rFont val="Times New Roman"/>
        <family val="1"/>
      </rPr>
      <t>3max</t>
    </r>
    <r>
      <rPr>
        <sz val="11"/>
        <rFont val="Arial"/>
        <family val="2"/>
      </rPr>
      <t xml:space="preserve"> (MPa)</t>
    </r>
  </si>
  <si>
    <r>
      <t xml:space="preserve">Peso específico do material rochoso </t>
    </r>
    <r>
      <rPr>
        <i/>
        <sz val="11"/>
        <rFont val="Times New Roman"/>
        <family val="1"/>
      </rPr>
      <t>y</t>
    </r>
    <r>
      <rPr>
        <sz val="11"/>
        <rFont val="Arial"/>
        <family val="2"/>
      </rPr>
      <t xml:space="preserve"> (MN/m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</si>
  <si>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 xml:space="preserve">Tensão </t>
    </r>
    <r>
      <rPr>
        <i/>
        <sz val="11"/>
        <rFont val="Times New Roman"/>
        <family val="1"/>
      </rPr>
      <t>σ</t>
    </r>
    <r>
      <rPr>
        <i/>
        <vertAlign val="subscript"/>
        <sz val="11"/>
        <rFont val="Times New Roman"/>
        <family val="1"/>
      </rPr>
      <t>3n</t>
    </r>
    <r>
      <rPr>
        <sz val="11"/>
        <rFont val="Arial"/>
        <family val="2"/>
      </rPr>
      <t xml:space="preserve"> (MPa)</t>
    </r>
  </si>
  <si>
    <r>
      <t xml:space="preserve">Contante </t>
    </r>
    <r>
      <rPr>
        <i/>
        <sz val="11"/>
        <rFont val="Times New Roman"/>
        <family val="1"/>
      </rPr>
      <t>m</t>
    </r>
    <r>
      <rPr>
        <i/>
        <vertAlign val="subscript"/>
        <sz val="11"/>
        <rFont val="Times New Roman"/>
        <family val="1"/>
      </rPr>
      <t>i</t>
    </r>
    <r>
      <rPr>
        <sz val="11"/>
        <rFont val="Arial"/>
        <family val="2"/>
      </rPr>
      <t xml:space="preserve"> da rocha</t>
    </r>
  </si>
  <si>
    <r>
      <t xml:space="preserve">Ângulo de atrito </t>
    </r>
    <r>
      <rPr>
        <i/>
        <sz val="11"/>
        <rFont val="Times New Roman"/>
        <family val="1"/>
      </rPr>
      <t>Ф</t>
    </r>
    <r>
      <rPr>
        <sz val="11"/>
        <rFont val="Arial"/>
        <family val="2"/>
      </rPr>
      <t xml:space="preserve"> (graus)</t>
    </r>
  </si>
  <si>
    <r>
      <t xml:space="preserve">Coeficiente de Poisson </t>
    </r>
    <r>
      <rPr>
        <i/>
        <sz val="11"/>
        <rFont val="Times New Roman"/>
        <family val="1"/>
      </rPr>
      <t>v</t>
    </r>
  </si>
  <si>
    <r>
      <t>Fator de perturbação (</t>
    </r>
    <r>
      <rPr>
        <i/>
        <sz val="11"/>
        <rFont val="Times New Roman"/>
        <family val="1"/>
      </rPr>
      <t>D</t>
    </r>
    <r>
      <rPr>
        <sz val="11"/>
        <rFont val="Arial"/>
        <family val="2"/>
      </rPr>
      <t>)</t>
    </r>
  </si>
  <si>
    <r>
      <t xml:space="preserve">Constante </t>
    </r>
    <r>
      <rPr>
        <i/>
        <sz val="11"/>
        <rFont val="Times New Roman"/>
        <family val="1"/>
      </rPr>
      <t>k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da rocha</t>
    </r>
  </si>
  <si>
    <r>
      <rPr>
        <i/>
        <sz val="11"/>
        <rFont val="Calibri"/>
        <family val="2"/>
        <scheme val="minor"/>
      </rPr>
      <t>Rockbolts</t>
    </r>
    <r>
      <rPr>
        <sz val="11"/>
        <rFont val="Calibri"/>
        <family val="2"/>
        <scheme val="minor"/>
      </rPr>
      <t xml:space="preserve"> ou cabos espaçados numa malha de s x s metros</t>
    </r>
  </si>
  <si>
    <r>
      <t xml:space="preserve">34 mm </t>
    </r>
    <r>
      <rPr>
        <i/>
        <sz val="11"/>
        <rFont val="Calibri"/>
        <family val="2"/>
        <scheme val="minor"/>
      </rPr>
      <t>rockbolt</t>
    </r>
  </si>
  <si>
    <r>
      <t xml:space="preserve">Pressão crítica de suporte 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cr</t>
    </r>
    <r>
      <rPr>
        <sz val="11"/>
        <rFont val="Arial"/>
        <family val="2"/>
      </rPr>
      <t xml:space="preserve"> (MPa)</t>
    </r>
  </si>
  <si>
    <r>
      <t xml:space="preserve">25 mm </t>
    </r>
    <r>
      <rPr>
        <i/>
        <sz val="11"/>
        <rFont val="Calibri"/>
        <family val="2"/>
        <scheme val="minor"/>
      </rPr>
      <t>rockbolt</t>
    </r>
  </si>
  <si>
    <r>
      <t xml:space="preserve">Módulo de Young </t>
    </r>
    <r>
      <rPr>
        <i/>
        <sz val="11"/>
        <rFont val="Times New Roman"/>
        <family val="1"/>
      </rPr>
      <t>E</t>
    </r>
  </si>
  <si>
    <r>
      <t xml:space="preserve">19 mm </t>
    </r>
    <r>
      <rPr>
        <i/>
        <sz val="11"/>
        <rFont val="Calibri"/>
        <family val="2"/>
        <scheme val="minor"/>
      </rPr>
      <t>rockbolt</t>
    </r>
  </si>
  <si>
    <r>
      <t xml:space="preserve">Raio da zona plástica ao redor do túnel </t>
    </r>
    <r>
      <rPr>
        <sz val="11"/>
        <rFont val="Times New Roman"/>
        <family val="1"/>
      </rPr>
      <t>r</t>
    </r>
    <r>
      <rPr>
        <i/>
        <vertAlign val="subscript"/>
        <sz val="11"/>
        <rFont val="Times New Roman"/>
        <family val="1"/>
      </rPr>
      <t>p</t>
    </r>
    <r>
      <rPr>
        <sz val="11"/>
        <rFont val="Arial"/>
        <family val="2"/>
      </rPr>
      <t xml:space="preserve"> (m)</t>
    </r>
  </si>
  <si>
    <r>
      <t xml:space="preserve">17 mm </t>
    </r>
    <r>
      <rPr>
        <i/>
        <sz val="11"/>
        <rFont val="Calibri"/>
        <family val="2"/>
        <scheme val="minor"/>
      </rPr>
      <t>rockbolt</t>
    </r>
  </si>
  <si>
    <r>
      <t xml:space="preserve">Deformação da parede do túnel </t>
    </r>
    <r>
      <rPr>
        <i/>
        <sz val="11"/>
        <rFont val="Times New Roman"/>
        <family val="1"/>
      </rPr>
      <t>u</t>
    </r>
    <r>
      <rPr>
        <i/>
        <vertAlign val="subscript"/>
        <sz val="11"/>
        <rFont val="Times New Roman"/>
        <family val="1"/>
      </rPr>
      <t>i</t>
    </r>
    <r>
      <rPr>
        <sz val="11"/>
        <rFont val="Arial"/>
        <family val="2"/>
      </rPr>
      <t xml:space="preserve"> (m)</t>
    </r>
  </si>
  <si>
    <r>
      <t xml:space="preserve">SS39 </t>
    </r>
    <r>
      <rPr>
        <i/>
        <sz val="11"/>
        <rFont val="Calibri"/>
        <family val="2"/>
        <scheme val="minor"/>
      </rPr>
      <t>Split set</t>
    </r>
  </si>
  <si>
    <r>
      <rPr>
        <b/>
        <i/>
        <sz val="11"/>
        <rFont val="Times New Roman"/>
        <family val="1"/>
      </rPr>
      <t>p</t>
    </r>
    <r>
      <rPr>
        <b/>
        <i/>
        <vertAlign val="subscript"/>
        <sz val="11"/>
        <rFont val="Times New Roman"/>
        <family val="1"/>
      </rPr>
      <t>i</t>
    </r>
    <r>
      <rPr>
        <b/>
        <sz val="11"/>
        <rFont val="Calibri"/>
        <family val="2"/>
        <scheme val="minor"/>
      </rPr>
      <t xml:space="preserve"> do suporte (Mpa)</t>
    </r>
    <r>
      <rPr>
        <b/>
        <sz val="11"/>
        <rFont val="Calibri"/>
        <family val="1"/>
        <scheme val="minor"/>
      </rPr>
      <t>=</t>
    </r>
  </si>
  <si>
    <r>
      <t xml:space="preserve">Deslocamento elástico máximo de deformação 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max.av</t>
    </r>
    <r>
      <rPr>
        <sz val="11"/>
        <rFont val="Arial"/>
        <family val="2"/>
      </rPr>
      <t xml:space="preserve"> (%)</t>
    </r>
  </si>
  <si>
    <r>
      <t xml:space="preserve">Percentagem deformação total túnel </t>
    </r>
    <r>
      <rPr>
        <i/>
        <sz val="11"/>
        <rFont val="Times New Roman"/>
        <family val="1"/>
      </rPr>
      <t>ε</t>
    </r>
    <r>
      <rPr>
        <sz val="11"/>
        <rFont val="Arial"/>
        <family val="2"/>
      </rPr>
      <t xml:space="preserve"> (%)</t>
    </r>
  </si>
  <si>
    <r>
      <t xml:space="preserve">EXX </t>
    </r>
    <r>
      <rPr>
        <i/>
        <sz val="11"/>
        <rFont val="Calibri"/>
        <family val="2"/>
        <scheme val="minor"/>
      </rPr>
      <t>Swellex</t>
    </r>
  </si>
  <si>
    <r>
      <t xml:space="preserve">Pressão interna de suporte inicial 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io</t>
    </r>
    <r>
      <rPr>
        <sz val="11"/>
        <rFont val="Arial"/>
        <family val="2"/>
      </rPr>
      <t xml:space="preserve"> (MPa)</t>
    </r>
  </si>
  <si>
    <r>
      <t xml:space="preserve">20mm </t>
    </r>
    <r>
      <rPr>
        <i/>
        <sz val="11"/>
        <rFont val="Calibri"/>
        <family val="2"/>
        <scheme val="minor"/>
      </rPr>
      <t>rebar</t>
    </r>
  </si>
  <si>
    <r>
      <t xml:space="preserve">Cabo </t>
    </r>
    <r>
      <rPr>
        <i/>
        <sz val="11"/>
        <rFont val="Calibri"/>
        <family val="2"/>
        <scheme val="minor"/>
      </rPr>
      <t>Birdcage</t>
    </r>
  </si>
  <si>
    <r>
      <t xml:space="preserve">Pressão interna de suporte 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i</t>
    </r>
    <r>
      <rPr>
        <sz val="11"/>
        <rFont val="Arial"/>
        <family val="2"/>
      </rPr>
      <t xml:space="preserve"> necessária (Mpa)</t>
    </r>
  </si>
  <si>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imax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específico do suporte (Mpa)</t>
    </r>
  </si>
  <si>
    <t>Gráfico 2</t>
  </si>
  <si>
    <r>
      <rPr>
        <b/>
        <sz val="11"/>
        <rFont val="Arial"/>
        <family val="2"/>
      </rPr>
      <t xml:space="preserve">
Critério de Hoek-Brown generalizado (2002) 
</t>
    </r>
    <r>
      <rPr>
        <sz val="11"/>
        <rFont val="Arial"/>
        <family val="2"/>
      </rPr>
      <t xml:space="preserve">
*Gráfico 2</t>
    </r>
  </si>
  <si>
    <r>
      <t xml:space="preserve">
Estudo Hoek (2007) para túnel circular em rochas brandas
</t>
    </r>
    <r>
      <rPr>
        <sz val="11"/>
        <rFont val="Arial"/>
        <family val="2"/>
      </rPr>
      <t>*Gráfico 1</t>
    </r>
  </si>
  <si>
    <t>Desenv. para Gráfico 1</t>
  </si>
  <si>
    <t>Desenv. para Gráfico 2</t>
  </si>
  <si>
    <t>Convergência do túnel ε (%) =</t>
  </si>
  <si>
    <t>--</t>
  </si>
  <si>
    <r>
      <t xml:space="preserve">Deformação </t>
    </r>
    <r>
      <rPr>
        <i/>
        <sz val="11"/>
        <rFont val="Times New Roman"/>
        <family val="1"/>
      </rPr>
      <t>ε</t>
    </r>
    <r>
      <rPr>
        <sz val="11"/>
        <rFont val="Arial"/>
        <family val="2"/>
      </rPr>
      <t xml:space="preserve"> no gráfico da FIG. 24 (%)</t>
    </r>
  </si>
  <si>
    <r>
      <t xml:space="preserve">Razão 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i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/ </t>
    </r>
    <r>
      <rPr>
        <i/>
        <sz val="11"/>
        <rFont val="Times New Roman"/>
        <family val="1"/>
      </rPr>
      <t>p</t>
    </r>
    <r>
      <rPr>
        <i/>
        <vertAlign val="subscript"/>
        <sz val="11"/>
        <rFont val="Times New Roman"/>
        <family val="1"/>
      </rPr>
      <t>o</t>
    </r>
    <r>
      <rPr>
        <sz val="11"/>
        <rFont val="Arial"/>
        <family val="2"/>
      </rPr>
      <t xml:space="preserve">  no gráfico da FIG. 25</t>
    </r>
  </si>
  <si>
    <r>
      <t xml:space="preserve">Razão </t>
    </r>
    <r>
      <rPr>
        <i/>
        <sz val="11"/>
        <color theme="1"/>
        <rFont val="Times New Roman"/>
        <family val="1"/>
      </rPr>
      <t>p</t>
    </r>
    <r>
      <rPr>
        <i/>
        <vertAlign val="subscript"/>
        <sz val="11"/>
        <color theme="1"/>
        <rFont val="Times New Roman"/>
        <family val="1"/>
      </rPr>
      <t xml:space="preserve">i </t>
    </r>
    <r>
      <rPr>
        <i/>
        <sz val="11"/>
        <color theme="1"/>
        <rFont val="Times New Roman"/>
        <family val="1"/>
      </rPr>
      <t>/ p</t>
    </r>
    <r>
      <rPr>
        <i/>
        <vertAlign val="subscript"/>
        <sz val="11"/>
        <color theme="1"/>
        <rFont val="Times New Roman"/>
        <family val="1"/>
      </rPr>
      <t>o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(deformação </t>
    </r>
    <r>
      <rPr>
        <i/>
        <sz val="10"/>
        <color theme="1"/>
        <rFont val="Times New Roman"/>
        <family val="1"/>
      </rPr>
      <t>ε</t>
    </r>
    <r>
      <rPr>
        <sz val="10"/>
        <color theme="1"/>
        <rFont val="Calibri"/>
        <family val="2"/>
        <scheme val="minor"/>
      </rPr>
      <t>=2% no gráfico da FIG. 25)</t>
    </r>
  </si>
  <si>
    <r>
      <t xml:space="preserve">Não faça edições nesta área!
Foi utilizada para plotar os gráficos.
</t>
    </r>
    <r>
      <rPr>
        <b/>
        <sz val="16"/>
        <color rgb="FFFF0000"/>
        <rFont val="Calibri"/>
        <family val="2"/>
      </rPr>
      <t>↓↓↓↓</t>
    </r>
  </si>
  <si>
    <t>Obs.: Vou disponibilizar a planilha totalmente editável, para que tenha a possibilidade de fazer aprimoramentos futuros por outros estudantes/ pesquisadores, então não se esqueça de dar os créditos como gratificação.
Att. Natália Cristina Matos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</si>
</sst>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"/>
    <numFmt numFmtId="167" formatCode="0.000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1"/>
      <scheme val="minor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"/>
      <family val="1"/>
    </font>
    <font>
      <sz val="10.5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i/>
      <sz val="11"/>
      <name val="Arial"/>
      <family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  <charset val="178"/>
      <scheme val="minor"/>
    </font>
    <font>
      <vertAlign val="superscript"/>
      <sz val="11"/>
      <name val="Arial"/>
      <family val="2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1"/>
      <scheme val="minor"/>
    </font>
    <font>
      <b/>
      <i/>
      <sz val="11"/>
      <name val="Times New Roman"/>
      <family val="1"/>
    </font>
    <font>
      <b/>
      <i/>
      <vertAlign val="subscript"/>
      <sz val="11"/>
      <name val="Times New Roman"/>
      <family val="1"/>
    </font>
    <font>
      <b/>
      <sz val="10"/>
      <name val="Calibri"/>
      <family val="2"/>
      <scheme val="minor"/>
    </font>
    <font>
      <i/>
      <vertAlign val="subscript"/>
      <sz val="11"/>
      <name val="Arial"/>
      <family val="2"/>
    </font>
    <font>
      <sz val="11"/>
      <name val="Arial"/>
      <family val="1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"/>
      <family val="2"/>
    </font>
    <font>
      <b/>
      <sz val="1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0" fontId="4" fillId="0" borderId="13" xfId="0" applyFont="1" applyBorder="1"/>
    <xf numFmtId="0" fontId="4" fillId="0" borderId="17" xfId="0" applyFont="1" applyBorder="1"/>
    <xf numFmtId="0" fontId="4" fillId="0" borderId="18" xfId="0" applyFont="1" applyBorder="1"/>
    <xf numFmtId="164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0" borderId="10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7" xfId="0" applyBorder="1"/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Fill="1"/>
    <xf numFmtId="0" fontId="21" fillId="0" borderId="0" xfId="0" applyFont="1" applyFill="1"/>
    <xf numFmtId="0" fontId="21" fillId="0" borderId="2" xfId="0" applyFont="1" applyBorder="1"/>
    <xf numFmtId="0" fontId="21" fillId="0" borderId="3" xfId="0" applyFont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textRotation="90"/>
    </xf>
    <xf numFmtId="0" fontId="24" fillId="0" borderId="4" xfId="0" applyFont="1" applyBorder="1" applyAlignment="1">
      <alignment horizontal="center" vertical="center" wrapText="1"/>
    </xf>
    <xf numFmtId="0" fontId="23" fillId="0" borderId="0" xfId="0" applyFont="1" applyBorder="1"/>
    <xf numFmtId="0" fontId="24" fillId="0" borderId="0" xfId="0" applyFont="1"/>
    <xf numFmtId="0" fontId="23" fillId="0" borderId="0" xfId="0" applyFont="1" applyAlignment="1">
      <alignment horizontal="right"/>
    </xf>
    <xf numFmtId="0" fontId="22" fillId="0" borderId="24" xfId="0" applyFont="1" applyBorder="1"/>
    <xf numFmtId="0" fontId="21" fillId="0" borderId="14" xfId="0" applyFont="1" applyFill="1" applyBorder="1"/>
    <xf numFmtId="0" fontId="21" fillId="0" borderId="5" xfId="0" applyFont="1" applyBorder="1"/>
    <xf numFmtId="0" fontId="23" fillId="0" borderId="5" xfId="0" applyFont="1" applyBorder="1"/>
    <xf numFmtId="0" fontId="23" fillId="0" borderId="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1" fillId="0" borderId="5" xfId="0" applyFont="1" applyBorder="1" applyAlignment="1"/>
    <xf numFmtId="0" fontId="21" fillId="3" borderId="6" xfId="0" applyFont="1" applyFill="1" applyBorder="1" applyAlignment="1">
      <alignment horizontal="center"/>
    </xf>
    <xf numFmtId="0" fontId="21" fillId="0" borderId="5" xfId="0" applyFont="1" applyBorder="1" applyAlignment="1">
      <alignment wrapText="1"/>
    </xf>
    <xf numFmtId="164" fontId="21" fillId="0" borderId="1" xfId="0" applyNumberFormat="1" applyFont="1" applyBorder="1" applyAlignment="1">
      <alignment horizontal="center"/>
    </xf>
    <xf numFmtId="164" fontId="21" fillId="0" borderId="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6" xfId="0" applyFont="1" applyFill="1" applyBorder="1" applyAlignment="1">
      <alignment horizontal="center"/>
    </xf>
    <xf numFmtId="11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0" fontId="21" fillId="0" borderId="7" xfId="0" applyFont="1" applyBorder="1"/>
    <xf numFmtId="0" fontId="21" fillId="0" borderId="9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3" fillId="0" borderId="7" xfId="0" applyFont="1" applyBorder="1"/>
    <xf numFmtId="0" fontId="23" fillId="0" borderId="8" xfId="0" applyFont="1" applyBorder="1" applyAlignment="1">
      <alignment horizontal="center"/>
    </xf>
    <xf numFmtId="164" fontId="23" fillId="0" borderId="8" xfId="0" applyNumberFormat="1" applyFont="1" applyBorder="1" applyAlignment="1">
      <alignment horizontal="center"/>
    </xf>
    <xf numFmtId="164" fontId="23" fillId="0" borderId="9" xfId="0" applyNumberFormat="1" applyFont="1" applyBorder="1" applyAlignment="1">
      <alignment horizontal="center"/>
    </xf>
    <xf numFmtId="0" fontId="21" fillId="0" borderId="5" xfId="0" applyFont="1" applyBorder="1" applyAlignment="1">
      <alignment vertical="center"/>
    </xf>
    <xf numFmtId="164" fontId="21" fillId="0" borderId="6" xfId="0" applyNumberFormat="1" applyFont="1" applyBorder="1" applyAlignment="1">
      <alignment horizontal="center"/>
    </xf>
    <xf numFmtId="0" fontId="23" fillId="0" borderId="0" xfId="0" applyFont="1" applyFill="1" applyAlignment="1"/>
    <xf numFmtId="0" fontId="23" fillId="0" borderId="6" xfId="0" applyFont="1" applyFill="1" applyBorder="1" applyAlignment="1">
      <alignment horizontal="center" vertical="center"/>
    </xf>
    <xf numFmtId="0" fontId="23" fillId="0" borderId="3" xfId="0" applyFont="1" applyBorder="1"/>
    <xf numFmtId="0" fontId="23" fillId="0" borderId="4" xfId="0" applyFont="1" applyBorder="1"/>
    <xf numFmtId="0" fontId="21" fillId="0" borderId="5" xfId="0" applyFont="1" applyBorder="1" applyAlignment="1">
      <alignment horizontal="left"/>
    </xf>
    <xf numFmtId="0" fontId="23" fillId="0" borderId="1" xfId="0" applyFont="1" applyBorder="1"/>
    <xf numFmtId="0" fontId="23" fillId="0" borderId="6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/>
    </xf>
    <xf numFmtId="0" fontId="23" fillId="0" borderId="2" xfId="0" applyFont="1" applyBorder="1"/>
    <xf numFmtId="0" fontId="23" fillId="0" borderId="29" xfId="0" applyFont="1" applyBorder="1"/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4" fillId="0" borderId="0" xfId="0" applyNumberFormat="1" applyFont="1" applyBorder="1" applyAlignment="1">
      <alignment horizontal="center" vertical="center" wrapText="1"/>
    </xf>
    <xf numFmtId="0" fontId="23" fillId="0" borderId="8" xfId="0" applyFont="1" applyBorder="1"/>
    <xf numFmtId="0" fontId="23" fillId="0" borderId="9" xfId="0" applyFont="1" applyBorder="1"/>
    <xf numFmtId="0" fontId="23" fillId="0" borderId="15" xfId="0" applyFont="1" applyBorder="1"/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/>
    <xf numFmtId="0" fontId="23" fillId="0" borderId="13" xfId="0" applyFont="1" applyBorder="1"/>
    <xf numFmtId="0" fontId="23" fillId="0" borderId="16" xfId="0" applyFont="1" applyBorder="1"/>
    <xf numFmtId="0" fontId="24" fillId="3" borderId="26" xfId="0" applyFont="1" applyFill="1" applyBorder="1"/>
    <xf numFmtId="0" fontId="24" fillId="3" borderId="30" xfId="0" applyFont="1" applyFill="1" applyBorder="1"/>
    <xf numFmtId="0" fontId="24" fillId="3" borderId="31" xfId="0" applyFont="1" applyFill="1" applyBorder="1" applyAlignment="1">
      <alignment horizontal="right"/>
    </xf>
    <xf numFmtId="0" fontId="23" fillId="0" borderId="3" xfId="0" applyNumberFormat="1" applyFont="1" applyBorder="1" applyAlignment="1">
      <alignment horizontal="center"/>
    </xf>
    <xf numFmtId="0" fontId="24" fillId="3" borderId="33" xfId="0" applyFont="1" applyFill="1" applyBorder="1"/>
    <xf numFmtId="0" fontId="24" fillId="3" borderId="22" xfId="0" applyFont="1" applyFill="1" applyBorder="1"/>
    <xf numFmtId="0" fontId="35" fillId="3" borderId="23" xfId="0" applyFont="1" applyFill="1" applyBorder="1" applyAlignment="1">
      <alignment horizontal="right" vertical="center"/>
    </xf>
    <xf numFmtId="0" fontId="23" fillId="0" borderId="9" xfId="0" applyFont="1" applyBorder="1" applyAlignment="1">
      <alignment horizontal="center"/>
    </xf>
    <xf numFmtId="0" fontId="21" fillId="0" borderId="7" xfId="0" applyFont="1" applyBorder="1" applyAlignment="1"/>
    <xf numFmtId="0" fontId="21" fillId="0" borderId="7" xfId="0" applyFont="1" applyBorder="1" applyAlignment="1">
      <alignment vertical="center"/>
    </xf>
    <xf numFmtId="164" fontId="21" fillId="0" borderId="8" xfId="0" applyNumberFormat="1" applyFont="1" applyBorder="1" applyAlignment="1">
      <alignment horizontal="center"/>
    </xf>
    <xf numFmtId="164" fontId="21" fillId="0" borderId="9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2" fontId="21" fillId="0" borderId="0" xfId="0" applyNumberFormat="1" applyFont="1" applyFill="1" applyAlignment="1">
      <alignment horizontal="center"/>
    </xf>
    <xf numFmtId="0" fontId="38" fillId="0" borderId="2" xfId="0" applyFont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23" fillId="0" borderId="6" xfId="0" applyFont="1" applyBorder="1" applyAlignment="1">
      <alignment horizontal="center" vertical="center"/>
    </xf>
    <xf numFmtId="165" fontId="21" fillId="0" borderId="0" xfId="0" applyNumberFormat="1" applyFont="1" applyFill="1" applyBorder="1" applyAlignment="1"/>
    <xf numFmtId="0" fontId="21" fillId="0" borderId="6" xfId="0" applyFont="1" applyBorder="1" applyAlignment="1">
      <alignment horizontal="center"/>
    </xf>
    <xf numFmtId="0" fontId="40" fillId="0" borderId="7" xfId="0" applyFont="1" applyBorder="1" applyAlignment="1">
      <alignment horizontal="left" vertical="center" wrapText="1"/>
    </xf>
    <xf numFmtId="165" fontId="21" fillId="0" borderId="9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167" fontId="21" fillId="0" borderId="6" xfId="0" applyNumberFormat="1" applyFont="1" applyFill="1" applyBorder="1" applyAlignment="1">
      <alignment horizontal="center"/>
    </xf>
    <xf numFmtId="165" fontId="23" fillId="0" borderId="8" xfId="0" applyNumberFormat="1" applyFont="1" applyBorder="1" applyAlignment="1">
      <alignment horizontal="center"/>
    </xf>
    <xf numFmtId="165" fontId="23" fillId="0" borderId="9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164" fontId="21" fillId="0" borderId="35" xfId="0" applyNumberFormat="1" applyFont="1" applyBorder="1" applyAlignment="1">
      <alignment horizontal="center"/>
    </xf>
    <xf numFmtId="164" fontId="21" fillId="0" borderId="6" xfId="0" quotePrefix="1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23" fillId="0" borderId="34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4" fontId="21" fillId="0" borderId="15" xfId="0" applyNumberFormat="1" applyFont="1" applyFill="1" applyBorder="1" applyAlignment="1">
      <alignment horizontal="center"/>
    </xf>
    <xf numFmtId="164" fontId="21" fillId="0" borderId="35" xfId="0" applyNumberFormat="1" applyFont="1" applyFill="1" applyBorder="1" applyAlignment="1">
      <alignment horizontal="center"/>
    </xf>
    <xf numFmtId="0" fontId="24" fillId="3" borderId="32" xfId="0" applyFont="1" applyFill="1" applyBorder="1" applyAlignment="1">
      <alignment horizontal="right"/>
    </xf>
    <xf numFmtId="0" fontId="24" fillId="3" borderId="13" xfId="0" applyFont="1" applyFill="1" applyBorder="1" applyAlignment="1">
      <alignment horizontal="right"/>
    </xf>
    <xf numFmtId="0" fontId="24" fillId="3" borderId="16" xfId="0" applyFont="1" applyFill="1" applyBorder="1" applyAlignment="1">
      <alignment horizontal="right"/>
    </xf>
    <xf numFmtId="0" fontId="24" fillId="3" borderId="33" xfId="0" applyFont="1" applyFill="1" applyBorder="1" applyAlignment="1">
      <alignment horizontal="right"/>
    </xf>
    <xf numFmtId="0" fontId="24" fillId="3" borderId="22" xfId="0" applyFont="1" applyFill="1" applyBorder="1" applyAlignment="1">
      <alignment horizontal="right"/>
    </xf>
    <xf numFmtId="0" fontId="24" fillId="3" borderId="23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/>
    </xf>
    <xf numFmtId="166" fontId="21" fillId="0" borderId="35" xfId="0" applyNumberFormat="1" applyFont="1" applyBorder="1" applyAlignment="1">
      <alignment horizontal="center"/>
    </xf>
    <xf numFmtId="0" fontId="31" fillId="0" borderId="34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3" borderId="26" xfId="0" applyFont="1" applyFill="1" applyBorder="1" applyAlignment="1">
      <alignment horizontal="right"/>
    </xf>
    <xf numFmtId="0" fontId="24" fillId="3" borderId="30" xfId="0" applyFont="1" applyFill="1" applyBorder="1" applyAlignment="1">
      <alignment horizontal="right"/>
    </xf>
    <xf numFmtId="0" fontId="24" fillId="3" borderId="31" xfId="0" applyFont="1" applyFill="1" applyBorder="1" applyAlignment="1">
      <alignment horizontal="right"/>
    </xf>
    <xf numFmtId="0" fontId="41" fillId="0" borderId="0" xfId="0" applyFont="1" applyProtection="1">
      <protection hidden="1"/>
    </xf>
    <xf numFmtId="0" fontId="41" fillId="0" borderId="0" xfId="0" applyFont="1"/>
    <xf numFmtId="165" fontId="41" fillId="0" borderId="0" xfId="0" applyNumberFormat="1" applyFont="1" applyProtection="1">
      <protection hidden="1"/>
    </xf>
    <xf numFmtId="2" fontId="41" fillId="0" borderId="0" xfId="0" applyNumberFormat="1" applyFont="1" applyProtection="1">
      <protection hidden="1"/>
    </xf>
    <xf numFmtId="164" fontId="41" fillId="0" borderId="0" xfId="0" applyNumberFormat="1" applyFont="1" applyProtection="1"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63410402952992E-2"/>
          <c:y val="0.11984548541601792"/>
          <c:w val="0.83235844601432163"/>
          <c:h val="0.76298856710707774"/>
        </c:manualLayout>
      </c:layout>
      <c:scatterChart>
        <c:scatterStyle val="lineMarker"/>
        <c:varyColors val="0"/>
        <c:ser>
          <c:idx val="0"/>
          <c:order val="0"/>
          <c:tx>
            <c:v>Linha característica do maciço rochoso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"/>
            <c:marker>
              <c:symbol val="circle"/>
              <c:size val="5"/>
              <c:spPr>
                <a:solidFill>
                  <a:srgbClr val="FF0000"/>
                </a:solidFill>
                <a:ln w="50800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00-4105-A756-E280B1AF1C1C}"/>
              </c:ext>
            </c:extLst>
          </c:dPt>
          <c:xVal>
            <c:numRef>
              <c:f>Principal!$AL$5:$AL$21</c:f>
              <c:numCache>
                <c:formatCode>General</c:formatCode>
                <c:ptCount val="17"/>
                <c:pt idx="0">
                  <c:v>28.552478926627035</c:v>
                </c:pt>
                <c:pt idx="1">
                  <c:v>9.0802701451157635</c:v>
                </c:pt>
                <c:pt idx="2">
                  <c:v>4.5250402609707852</c:v>
                </c:pt>
                <c:pt idx="3">
                  <c:v>2.7135213178786395</c:v>
                </c:pt>
                <c:pt idx="4">
                  <c:v>1.8024181571781215</c:v>
                </c:pt>
                <c:pt idx="5">
                  <c:v>1.2792750701120228</c:v>
                </c:pt>
                <c:pt idx="6">
                  <c:v>0.95275909646354418</c:v>
                </c:pt>
                <c:pt idx="7">
                  <c:v>0.7373533937509934</c:v>
                </c:pt>
                <c:pt idx="8">
                  <c:v>0.5898489672180609</c:v>
                </c:pt>
                <c:pt idx="9">
                  <c:v>0.4863705785079056</c:v>
                </c:pt>
                <c:pt idx="10">
                  <c:v>0.41279277941432413</c:v>
                </c:pt>
                <c:pt idx="11">
                  <c:v>0.35091721543470256</c:v>
                </c:pt>
                <c:pt idx="12">
                  <c:v>0.28904165145508093</c:v>
                </c:pt>
                <c:pt idx="13">
                  <c:v>0.22716608747545936</c:v>
                </c:pt>
                <c:pt idx="14">
                  <c:v>0.16529052349583773</c:v>
                </c:pt>
                <c:pt idx="15">
                  <c:v>0.10341495951621613</c:v>
                </c:pt>
                <c:pt idx="16">
                  <c:v>4.1539395536594539E-2</c:v>
                </c:pt>
              </c:numCache>
            </c:numRef>
          </c:xVal>
          <c:yVal>
            <c:numRef>
              <c:f>Principal!$AM$5:$AM$21</c:f>
              <c:numCache>
                <c:formatCode>General</c:formatCode>
                <c:ptCount val="17"/>
                <c:pt idx="0">
                  <c:v>0</c:v>
                </c:pt>
                <c:pt idx="1">
                  <c:v>0.22493695943149197</c:v>
                </c:pt>
                <c:pt idx="2">
                  <c:v>0.44987391886298395</c:v>
                </c:pt>
                <c:pt idx="3">
                  <c:v>0.67481087829447595</c:v>
                </c:pt>
                <c:pt idx="4">
                  <c:v>0.89974783772596789</c:v>
                </c:pt>
                <c:pt idx="5">
                  <c:v>1.1246847971574598</c:v>
                </c:pt>
                <c:pt idx="6">
                  <c:v>1.3496217565889519</c:v>
                </c:pt>
                <c:pt idx="7">
                  <c:v>1.5745587160204439</c:v>
                </c:pt>
                <c:pt idx="8">
                  <c:v>1.799495675451936</c:v>
                </c:pt>
                <c:pt idx="9">
                  <c:v>2.0244326348834281</c:v>
                </c:pt>
                <c:pt idx="10">
                  <c:v>2.2493695943149201</c:v>
                </c:pt>
                <c:pt idx="11">
                  <c:v>2.4743065537464122</c:v>
                </c:pt>
                <c:pt idx="12">
                  <c:v>2.6992435131779042</c:v>
                </c:pt>
                <c:pt idx="13">
                  <c:v>2.9241804726093963</c:v>
                </c:pt>
                <c:pt idx="14">
                  <c:v>3.1491174320408883</c:v>
                </c:pt>
                <c:pt idx="15">
                  <c:v>3.3740543914723804</c:v>
                </c:pt>
                <c:pt idx="16">
                  <c:v>3.5989913509038725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F4-4933-8070-8F804BB91CF1}"/>
            </c:ext>
          </c:extLst>
        </c:ser>
        <c:ser>
          <c:idx val="2"/>
          <c:order val="2"/>
          <c:tx>
            <c:v>Reação do suporte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Principal!$AL$22:$AL$24</c:f>
              <c:numCache>
                <c:formatCode>General</c:formatCode>
                <c:ptCount val="3"/>
                <c:pt idx="0">
                  <c:v>8</c:v>
                </c:pt>
                <c:pt idx="1">
                  <c:v>9.35</c:v>
                </c:pt>
                <c:pt idx="2">
                  <c:v>28.552478926627035</c:v>
                </c:pt>
              </c:numCache>
            </c:numRef>
          </c:xVal>
          <c:yVal>
            <c:numRef>
              <c:f>Principal!$AM$22:$AM$24</c:f>
              <c:numCache>
                <c:formatCode>0.0000</c:formatCode>
                <c:ptCount val="3"/>
                <c:pt idx="0" formatCode="General">
                  <c:v>0</c:v>
                </c:pt>
                <c:pt idx="1">
                  <c:v>0.51918600682878957</c:v>
                </c:pt>
                <c:pt idx="2" formatCode="General">
                  <c:v>0.51918600682878957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F4-4933-8070-8F804BB91CF1}"/>
            </c:ext>
          </c:extLst>
        </c:ser>
        <c:ser>
          <c:idx val="3"/>
          <c:order val="3"/>
          <c:tx>
            <c:v>Pressão Crítica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50800">
                <a:solidFill>
                  <a:srgbClr val="FF0000"/>
                </a:solidFill>
              </a:ln>
              <a:effectLst/>
            </c:spPr>
          </c:marker>
          <c:xVal>
            <c:numRef>
              <c:f>Principal!$AM$26</c:f>
              <c:numCache>
                <c:formatCode>General</c:formatCode>
                <c:ptCount val="1"/>
                <c:pt idx="0">
                  <c:v>0.41279277941432413</c:v>
                </c:pt>
              </c:numCache>
            </c:numRef>
          </c:xVal>
          <c:yVal>
            <c:numRef>
              <c:f>Principal!$G$15</c:f>
              <c:numCache>
                <c:formatCode>0.000</c:formatCode>
                <c:ptCount val="1"/>
                <c:pt idx="0">
                  <c:v>2.2493695943149197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F4-4933-8070-8F804BB91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954432"/>
        <c:axId val="521955088"/>
      </c:scatterChart>
      <c:scatterChart>
        <c:scatterStyle val="lineMarker"/>
        <c:varyColors val="0"/>
        <c:ser>
          <c:idx val="1"/>
          <c:order val="1"/>
          <c:tx>
            <c:v>Espessura da zona plástica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Principal!$AL$5:$AL$21</c:f>
              <c:numCache>
                <c:formatCode>General</c:formatCode>
                <c:ptCount val="17"/>
                <c:pt idx="0">
                  <c:v>28.552478926627035</c:v>
                </c:pt>
                <c:pt idx="1">
                  <c:v>9.0802701451157635</c:v>
                </c:pt>
                <c:pt idx="2">
                  <c:v>4.5250402609707852</c:v>
                </c:pt>
                <c:pt idx="3">
                  <c:v>2.7135213178786395</c:v>
                </c:pt>
                <c:pt idx="4">
                  <c:v>1.8024181571781215</c:v>
                </c:pt>
                <c:pt idx="5">
                  <c:v>1.2792750701120228</c:v>
                </c:pt>
                <c:pt idx="6">
                  <c:v>0.95275909646354418</c:v>
                </c:pt>
                <c:pt idx="7">
                  <c:v>0.7373533937509934</c:v>
                </c:pt>
                <c:pt idx="8">
                  <c:v>0.5898489672180609</c:v>
                </c:pt>
                <c:pt idx="9">
                  <c:v>0.4863705785079056</c:v>
                </c:pt>
                <c:pt idx="10">
                  <c:v>0.41279277941432413</c:v>
                </c:pt>
                <c:pt idx="11">
                  <c:v>0.35091721543470256</c:v>
                </c:pt>
                <c:pt idx="12">
                  <c:v>0.28904165145508093</c:v>
                </c:pt>
                <c:pt idx="13">
                  <c:v>0.22716608747545936</c:v>
                </c:pt>
                <c:pt idx="14">
                  <c:v>0.16529052349583773</c:v>
                </c:pt>
                <c:pt idx="15">
                  <c:v>0.10341495951621613</c:v>
                </c:pt>
                <c:pt idx="16">
                  <c:v>4.1539395536594539E-2</c:v>
                </c:pt>
              </c:numCache>
            </c:numRef>
          </c:xVal>
          <c:yVal>
            <c:numRef>
              <c:f>Principal!$AN$5:$AN$21</c:f>
              <c:numCache>
                <c:formatCode>General</c:formatCode>
                <c:ptCount val="17"/>
                <c:pt idx="0">
                  <c:v>30.397895581434568</c:v>
                </c:pt>
                <c:pt idx="1">
                  <c:v>15.238217531714994</c:v>
                </c:pt>
                <c:pt idx="2">
                  <c:v>9.5416139352096287</c:v>
                </c:pt>
                <c:pt idx="3">
                  <c:v>6.4901151012755847</c:v>
                </c:pt>
                <c:pt idx="4">
                  <c:v>4.567567401226178</c:v>
                </c:pt>
                <c:pt idx="5">
                  <c:v>3.236312483655464</c:v>
                </c:pt>
                <c:pt idx="6">
                  <c:v>2.2554324248674238</c:v>
                </c:pt>
                <c:pt idx="7">
                  <c:v>1.5001779139030633</c:v>
                </c:pt>
                <c:pt idx="8">
                  <c:v>0.89921100573700663</c:v>
                </c:pt>
                <c:pt idx="9">
                  <c:v>0.40866021960159671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9F4-4933-8070-8F804BB91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403712"/>
        <c:axId val="408403056"/>
      </c:scatterChart>
      <c:valAx>
        <c:axId val="5219544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Convergência do túnel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1955088"/>
        <c:crosses val="autoZero"/>
        <c:crossBetween val="midCat"/>
      </c:valAx>
      <c:valAx>
        <c:axId val="52195508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aseline="0"/>
                  <a:t>Pressão de suporte pi (MPa)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1954432"/>
        <c:crosses val="autoZero"/>
        <c:crossBetween val="midCat"/>
        <c:majorUnit val="1"/>
      </c:valAx>
      <c:valAx>
        <c:axId val="408403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Espessura da zona plástica</a:t>
                </a:r>
                <a:r>
                  <a:rPr lang="pt-BR" baseline="0"/>
                  <a:t> (m)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8403712"/>
        <c:crosses val="max"/>
        <c:crossBetween val="midCat"/>
      </c:valAx>
      <c:valAx>
        <c:axId val="40840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40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786398508784304"/>
          <c:y val="1.5513216621203151E-2"/>
          <c:w val="0.22733767535743032"/>
          <c:h val="0.25095859804925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63410402952992E-2"/>
          <c:y val="0.11984548541601792"/>
          <c:w val="0.83235844601432163"/>
          <c:h val="0.76298856710707774"/>
        </c:manualLayout>
      </c:layout>
      <c:scatterChart>
        <c:scatterStyle val="lineMarker"/>
        <c:varyColors val="0"/>
        <c:ser>
          <c:idx val="0"/>
          <c:order val="0"/>
          <c:tx>
            <c:v>Linha característica do maciço rochoso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Principal!$AL$29:$AL$45</c:f>
              <c:numCache>
                <c:formatCode>General</c:formatCode>
                <c:ptCount val="17"/>
                <c:pt idx="0">
                  <c:v>17.931815491872062</c:v>
                </c:pt>
                <c:pt idx="1">
                  <c:v>11.906304063831888</c:v>
                </c:pt>
                <c:pt idx="2">
                  <c:v>7.8513335583378616</c:v>
                </c:pt>
                <c:pt idx="3">
                  <c:v>5.1352073334407429</c:v>
                </c:pt>
                <c:pt idx="4">
                  <c:v>3.3256556685653464</c:v>
                </c:pt>
                <c:pt idx="5">
                  <c:v>2.1276346218148796</c:v>
                </c:pt>
                <c:pt idx="6">
                  <c:v>1.3403357143764092</c:v>
                </c:pt>
                <c:pt idx="7">
                  <c:v>0.8275212152929059</c:v>
                </c:pt>
                <c:pt idx="8">
                  <c:v>0.4970904491710183</c:v>
                </c:pt>
                <c:pt idx="9">
                  <c:v>0.28703154087464217</c:v>
                </c:pt>
                <c:pt idx="10">
                  <c:v>0.15578336973131313</c:v>
                </c:pt>
                <c:pt idx="11">
                  <c:v>7.5638404677859317E-2</c:v>
                </c:pt>
                <c:pt idx="12">
                  <c:v>2.8238435368900906E-2</c:v>
                </c:pt>
                <c:pt idx="13">
                  <c:v>1.5078819661262612E-3</c:v>
                </c:pt>
                <c:pt idx="14">
                  <c:v>-1.2427594512486749E-2</c:v>
                </c:pt>
                <c:pt idx="15">
                  <c:v>-1.8648785994441544E-2</c:v>
                </c:pt>
                <c:pt idx="16">
                  <c:v>-2.0391214348199575E-2</c:v>
                </c:pt>
              </c:numCache>
            </c:numRef>
          </c:xVal>
          <c:yVal>
            <c:numRef>
              <c:f>Principal!$AM$29:$AM$45</c:f>
              <c:numCache>
                <c:formatCode>General</c:formatCode>
                <c:ptCount val="17"/>
                <c:pt idx="0">
                  <c:v>0</c:v>
                </c:pt>
                <c:pt idx="1">
                  <c:v>0.229353718711754</c:v>
                </c:pt>
                <c:pt idx="2">
                  <c:v>0.458707437423508</c:v>
                </c:pt>
                <c:pt idx="3">
                  <c:v>0.68806115613526198</c:v>
                </c:pt>
                <c:pt idx="4">
                  <c:v>0.917414874847016</c:v>
                </c:pt>
                <c:pt idx="5">
                  <c:v>1.1467685935587699</c:v>
                </c:pt>
                <c:pt idx="6">
                  <c:v>1.376122312270524</c:v>
                </c:pt>
                <c:pt idx="7">
                  <c:v>1.605476030982278</c:v>
                </c:pt>
                <c:pt idx="8">
                  <c:v>1.834829749694032</c:v>
                </c:pt>
                <c:pt idx="9">
                  <c:v>2.064183468405786</c:v>
                </c:pt>
                <c:pt idx="10">
                  <c:v>2.2935371871175398</c:v>
                </c:pt>
                <c:pt idx="11">
                  <c:v>2.5228909058292937</c:v>
                </c:pt>
                <c:pt idx="12">
                  <c:v>2.7522446245410475</c:v>
                </c:pt>
                <c:pt idx="13">
                  <c:v>2.9815983432528013</c:v>
                </c:pt>
                <c:pt idx="14">
                  <c:v>3.2109520619645551</c:v>
                </c:pt>
                <c:pt idx="15">
                  <c:v>3.4403057806763089</c:v>
                </c:pt>
                <c:pt idx="16">
                  <c:v>3.6696594993880627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067-4688-800A-991B907AF746}"/>
            </c:ext>
          </c:extLst>
        </c:ser>
        <c:ser>
          <c:idx val="2"/>
          <c:order val="2"/>
          <c:tx>
            <c:v>Reação do suporte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Principal!$AL$46:$AL$48</c:f>
              <c:numCache>
                <c:formatCode>General</c:formatCode>
                <c:ptCount val="3"/>
                <c:pt idx="0">
                  <c:v>8</c:v>
                </c:pt>
                <c:pt idx="1">
                  <c:v>9.35</c:v>
                </c:pt>
                <c:pt idx="2">
                  <c:v>17.931815491872062</c:v>
                </c:pt>
              </c:numCache>
            </c:numRef>
          </c:xVal>
          <c:yVal>
            <c:numRef>
              <c:f>Principal!$AM$46:$AM$48</c:f>
              <c:numCache>
                <c:formatCode>0.0000</c:formatCode>
                <c:ptCount val="3"/>
                <c:pt idx="0" formatCode="General">
                  <c:v>0</c:v>
                </c:pt>
                <c:pt idx="1">
                  <c:v>0.51918600682878957</c:v>
                </c:pt>
                <c:pt idx="2" formatCode="General">
                  <c:v>0.51918600682878957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067-4688-800A-991B907AF746}"/>
            </c:ext>
          </c:extLst>
        </c:ser>
        <c:ser>
          <c:idx val="3"/>
          <c:order val="3"/>
          <c:tx>
            <c:v>Pressão Crítica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50800">
                <a:solidFill>
                  <a:srgbClr val="FF0000"/>
                </a:solidFill>
              </a:ln>
              <a:effectLst/>
            </c:spPr>
          </c:marker>
          <c:xVal>
            <c:numRef>
              <c:f>Principal!$AM$50</c:f>
              <c:numCache>
                <c:formatCode>General</c:formatCode>
                <c:ptCount val="1"/>
                <c:pt idx="0">
                  <c:v>0.15578336973131313</c:v>
                </c:pt>
              </c:numCache>
            </c:numRef>
          </c:xVal>
          <c:yVal>
            <c:numRef>
              <c:f>Principal!$AL$50</c:f>
              <c:numCache>
                <c:formatCode>0.000</c:formatCode>
                <c:ptCount val="1"/>
                <c:pt idx="0">
                  <c:v>2.2935400000000001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067-4688-800A-991B907AF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954432"/>
        <c:axId val="521955088"/>
      </c:scatterChart>
      <c:scatterChart>
        <c:scatterStyle val="lineMarker"/>
        <c:varyColors val="0"/>
        <c:ser>
          <c:idx val="1"/>
          <c:order val="1"/>
          <c:tx>
            <c:v>Espessura da zona plástica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Principal!$AL$29:$AL$45</c:f>
              <c:numCache>
                <c:formatCode>General</c:formatCode>
                <c:ptCount val="17"/>
                <c:pt idx="0">
                  <c:v>17.931815491872062</c:v>
                </c:pt>
                <c:pt idx="1">
                  <c:v>11.906304063831888</c:v>
                </c:pt>
                <c:pt idx="2">
                  <c:v>7.8513335583378616</c:v>
                </c:pt>
                <c:pt idx="3">
                  <c:v>5.1352073334407429</c:v>
                </c:pt>
                <c:pt idx="4">
                  <c:v>3.3256556685653464</c:v>
                </c:pt>
                <c:pt idx="5">
                  <c:v>2.1276346218148796</c:v>
                </c:pt>
                <c:pt idx="6">
                  <c:v>1.3403357143764092</c:v>
                </c:pt>
                <c:pt idx="7">
                  <c:v>0.8275212152929059</c:v>
                </c:pt>
                <c:pt idx="8">
                  <c:v>0.4970904491710183</c:v>
                </c:pt>
                <c:pt idx="9">
                  <c:v>0.28703154087464217</c:v>
                </c:pt>
                <c:pt idx="10">
                  <c:v>0.15578336973131313</c:v>
                </c:pt>
                <c:pt idx="11">
                  <c:v>7.5638404677859317E-2</c:v>
                </c:pt>
                <c:pt idx="12">
                  <c:v>2.8238435368900906E-2</c:v>
                </c:pt>
                <c:pt idx="13">
                  <c:v>1.5078819661262612E-3</c:v>
                </c:pt>
                <c:pt idx="14">
                  <c:v>-1.2427594512486749E-2</c:v>
                </c:pt>
                <c:pt idx="15">
                  <c:v>-1.8648785994441544E-2</c:v>
                </c:pt>
                <c:pt idx="16">
                  <c:v>-2.0391214348199575E-2</c:v>
                </c:pt>
              </c:numCache>
            </c:numRef>
          </c:xVal>
          <c:yVal>
            <c:numRef>
              <c:f>Principal!$AN$29:$AN$45</c:f>
              <c:numCache>
                <c:formatCode>General</c:formatCode>
                <c:ptCount val="17"/>
                <c:pt idx="0">
                  <c:v>17.50968321663548</c:v>
                </c:pt>
                <c:pt idx="1">
                  <c:v>14.677330685021609</c:v>
                </c:pt>
                <c:pt idx="2">
                  <c:v>9.5897858827625893</c:v>
                </c:pt>
                <c:pt idx="3">
                  <c:v>6.6520783467173139</c:v>
                </c:pt>
                <c:pt idx="4">
                  <c:v>4.7307277314504148</c:v>
                </c:pt>
                <c:pt idx="5">
                  <c:v>3.3721456568865253</c:v>
                </c:pt>
                <c:pt idx="6">
                  <c:v>2.3585883741865823</c:v>
                </c:pt>
                <c:pt idx="7">
                  <c:v>1.5722309438073374</c:v>
                </c:pt>
                <c:pt idx="8">
                  <c:v>0.94363487455547368</c:v>
                </c:pt>
                <c:pt idx="9">
                  <c:v>0.42916655236138723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067-4688-800A-991B907AF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8403712"/>
        <c:axId val="408403056"/>
      </c:scatterChart>
      <c:valAx>
        <c:axId val="52195443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Convergência do túnel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1955088"/>
        <c:crosses val="autoZero"/>
        <c:crossBetween val="midCat"/>
      </c:valAx>
      <c:valAx>
        <c:axId val="52195508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aseline="0"/>
                  <a:t>Pressão de suporte pi (MPa)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1954432"/>
        <c:crosses val="autoZero"/>
        <c:crossBetween val="midCat"/>
        <c:majorUnit val="1"/>
      </c:valAx>
      <c:valAx>
        <c:axId val="408403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Espessura da zona plástica</a:t>
                </a:r>
                <a:r>
                  <a:rPr lang="pt-BR" baseline="0"/>
                  <a:t> (m)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8403712"/>
        <c:crosses val="max"/>
        <c:crossBetween val="midCat"/>
      </c:valAx>
      <c:valAx>
        <c:axId val="40840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40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591867483780455"/>
          <c:y val="6.6810964545937579E-4"/>
          <c:w val="0.22733767535743032"/>
          <c:h val="0.25095859804925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F9FE5C0-50D1-4CE4-9570-1C2D9A391EE4}">
  <sheetPr/>
  <sheetViews>
    <sheetView zoomScale="6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2BDB9B-8013-4BB7-BC46-D5292FF6CF2D}">
  <sheetPr/>
  <sheetViews>
    <sheetView zoomScale="6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184723</xdr:colOff>
      <xdr:row>1</xdr:row>
      <xdr:rowOff>230909</xdr:rowOff>
    </xdr:from>
    <xdr:to>
      <xdr:col>3</xdr:col>
      <xdr:colOff>174577</xdr:colOff>
      <xdr:row>1</xdr:row>
      <xdr:rowOff>842818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242FA61-F115-4803-8604-6DA00B7094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363" t="45581" r="19899" b="46929"/>
        <a:stretch/>
      </xdr:blipFill>
      <xdr:spPr>
        <a:xfrm>
          <a:off x="184723" y="427182"/>
          <a:ext cx="4654218" cy="611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2231" cy="5988538"/>
    <xdr:graphicFrame macro="">
      <xdr:nvGraphicFramePr>
        <xdr:cNvPr id="2" name="Gráfico 1" descr="Support pressure pi (MPa)">
          <a:extLst>
            <a:ext uri="{FF2B5EF4-FFF2-40B4-BE49-F238E27FC236}">
              <a16:creationId xmlns:a16="http://schemas.microsoft.com/office/drawing/2014/main" id="{4BA8C492-D2A2-4590-A66B-C398EE2E33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2231" cy="5988538"/>
    <xdr:graphicFrame macro="">
      <xdr:nvGraphicFramePr>
        <xdr:cNvPr id="2" name="Gráfico 1" descr="Support pressure pi (MPa)">
          <a:extLst>
            <a:ext uri="{FF2B5EF4-FFF2-40B4-BE49-F238E27FC236}">
              <a16:creationId xmlns:a16="http://schemas.microsoft.com/office/drawing/2014/main" id="{5BD6E74C-BF50-4D44-A900-037DACAEEC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alia cristina" id="{C02D6F9E-13B3-425D-8851-60539AD3E0CF}" userId="1188fdc12d58db89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19-06-28T22:57:07.24" personId="{C02D6F9E-13B3-425D-8851-60539AD3E0CF}" id="{62F21D2A-8073-4128-BCDC-74C2804E09B0}">
    <text>Critério Generalizado Hoek-Brown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60F0F-657B-4094-9735-99BC4E98A66C}">
  <dimension ref="B1:M63"/>
  <sheetViews>
    <sheetView workbookViewId="0">
      <selection activeCell="G5" sqref="G5"/>
    </sheetView>
  </sheetViews>
  <sheetFormatPr defaultRowHeight="14.5" x14ac:dyDescent="0.35"/>
  <cols>
    <col min="1" max="1" width="2.54296875" customWidth="1"/>
    <col min="2" max="2" width="20" customWidth="1"/>
    <col min="3" max="3" width="10.90625" customWidth="1"/>
    <col min="4" max="4" width="12.6328125" customWidth="1"/>
    <col min="5" max="5" width="8.90625" customWidth="1"/>
    <col min="6" max="6" width="7.81640625" bestFit="1" customWidth="1"/>
    <col min="7" max="7" width="7.54296875" customWidth="1"/>
    <col min="8" max="8" width="8.26953125" bestFit="1" customWidth="1"/>
    <col min="9" max="9" width="6.26953125" bestFit="1" customWidth="1"/>
    <col min="10" max="10" width="11" bestFit="1" customWidth="1"/>
    <col min="11" max="11" width="16" customWidth="1"/>
  </cols>
  <sheetData>
    <row r="1" spans="2:13" ht="6.5" customHeight="1" x14ac:dyDescent="0.35"/>
    <row r="2" spans="2:13" x14ac:dyDescent="0.35">
      <c r="B2" s="175" t="s">
        <v>39</v>
      </c>
      <c r="C2" s="175"/>
      <c r="D2" s="175"/>
      <c r="E2" s="41" t="s">
        <v>109</v>
      </c>
      <c r="F2" s="41" t="s">
        <v>110</v>
      </c>
    </row>
    <row r="3" spans="2:13" x14ac:dyDescent="0.35">
      <c r="B3" s="173" t="s">
        <v>45</v>
      </c>
      <c r="C3" s="173"/>
      <c r="D3" s="173"/>
      <c r="E3" s="42">
        <v>150</v>
      </c>
      <c r="F3" s="43" t="s">
        <v>1</v>
      </c>
      <c r="G3" s="44"/>
      <c r="H3" s="1" t="s">
        <v>55</v>
      </c>
      <c r="I3" s="45"/>
      <c r="J3" s="181" t="s">
        <v>56</v>
      </c>
      <c r="K3" s="182"/>
      <c r="L3" s="182"/>
      <c r="M3" s="182"/>
    </row>
    <row r="4" spans="2:13" ht="16.5" x14ac:dyDescent="0.35">
      <c r="B4" s="46" t="s">
        <v>44</v>
      </c>
      <c r="C4" s="46"/>
      <c r="D4" s="46"/>
      <c r="E4" s="42">
        <v>2.7E-2</v>
      </c>
      <c r="F4" s="43" t="s">
        <v>43</v>
      </c>
      <c r="G4" s="44"/>
      <c r="I4" s="2"/>
      <c r="J4" s="181" t="s">
        <v>57</v>
      </c>
      <c r="K4" s="182"/>
      <c r="L4" s="182"/>
      <c r="M4" s="182"/>
    </row>
    <row r="5" spans="2:13" x14ac:dyDescent="0.35">
      <c r="B5" s="173" t="s">
        <v>92</v>
      </c>
      <c r="C5" s="173"/>
      <c r="D5" s="173"/>
      <c r="E5" s="42">
        <v>0</v>
      </c>
      <c r="F5" s="43"/>
      <c r="G5" s="44"/>
      <c r="H5" s="44"/>
    </row>
    <row r="6" spans="2:13" ht="17" x14ac:dyDescent="0.45">
      <c r="B6" s="173" t="s">
        <v>46</v>
      </c>
      <c r="C6" s="173"/>
      <c r="D6" s="173"/>
      <c r="E6" s="47">
        <f>E4*E3</f>
        <v>4.05</v>
      </c>
      <c r="F6" s="43" t="s">
        <v>0</v>
      </c>
      <c r="G6" s="44"/>
      <c r="H6" s="44"/>
    </row>
    <row r="7" spans="2:13" ht="8" customHeight="1" thickBot="1" x14ac:dyDescent="0.4"/>
    <row r="8" spans="2:13" ht="17" x14ac:dyDescent="0.45">
      <c r="B8" s="3" t="s">
        <v>40</v>
      </c>
      <c r="C8" s="4" t="s">
        <v>48</v>
      </c>
      <c r="D8" s="5" t="s">
        <v>42</v>
      </c>
      <c r="E8" s="6" t="s">
        <v>49</v>
      </c>
      <c r="F8" s="6" t="s">
        <v>54</v>
      </c>
      <c r="G8" s="6" t="s">
        <v>52</v>
      </c>
      <c r="H8" s="6" t="s">
        <v>53</v>
      </c>
      <c r="I8" s="7" t="s">
        <v>50</v>
      </c>
      <c r="J8" s="8" t="s">
        <v>51</v>
      </c>
    </row>
    <row r="9" spans="2:13" x14ac:dyDescent="0.35">
      <c r="B9" s="33" t="s">
        <v>41</v>
      </c>
      <c r="C9" s="48">
        <v>100</v>
      </c>
      <c r="D9" s="48">
        <v>55</v>
      </c>
      <c r="E9" s="48">
        <v>30</v>
      </c>
      <c r="F9" s="32">
        <f>E9*EXP((D9-100)/(28-14*E5))</f>
        <v>6.0137861456794646</v>
      </c>
      <c r="G9" s="32">
        <f>IF(D9&gt;25,EXP((D9-100)/(9-3*E5)),0)</f>
        <v>6.737946999085467E-3</v>
      </c>
      <c r="H9" s="32">
        <f>IF(D9&gt;25,0.5,1/2+1/6*(EXP(-D9/15)-EXP(-20/3)))</f>
        <v>0.5</v>
      </c>
      <c r="I9" s="32">
        <f>C9*(((F9+4*G9-H9*(F9-8*G9))*(F9/4+G9)^(H9-1))/(2*(1+H9)*(2+H9)))</f>
        <v>33.209184571238268</v>
      </c>
      <c r="J9" s="35">
        <f>I9/E6</f>
        <v>8.1997986595650048</v>
      </c>
    </row>
    <row r="10" spans="2:13" ht="15" thickBot="1" x14ac:dyDescent="0.4">
      <c r="B10" s="34" t="s">
        <v>47</v>
      </c>
      <c r="C10" s="49">
        <v>10</v>
      </c>
      <c r="D10" s="49">
        <v>15</v>
      </c>
      <c r="E10" s="49">
        <v>8</v>
      </c>
      <c r="F10" s="36">
        <f>E10*EXP((D10-100)/(28-14*E5))</f>
        <v>0.38432268873367359</v>
      </c>
      <c r="G10" s="50">
        <f>IF(D10&gt;25,EXP((D10-100)/(9-3*E5)),0)</f>
        <v>0</v>
      </c>
      <c r="H10" s="36">
        <f>IF(D10&gt;25,0.5,1/2+1/6*(EXP(-D10/15)-EXP(-20/3)))</f>
        <v>0.56110113456168376</v>
      </c>
      <c r="I10" s="36">
        <f>C10*(((F10+4*G10-H10*(F10-8*G10))*(F10/4+G10)^(H10-1))/(2*(1+H10)*(2+H10)))</f>
        <v>0.58978348813845938</v>
      </c>
      <c r="J10" s="37">
        <f>I10/E6</f>
        <v>0.14562555262678009</v>
      </c>
    </row>
    <row r="11" spans="2:13" ht="8.5" customHeight="1" x14ac:dyDescent="0.35"/>
    <row r="12" spans="2:13" ht="14.5" customHeight="1" x14ac:dyDescent="0.35">
      <c r="B12" s="174" t="s">
        <v>59</v>
      </c>
      <c r="C12" s="174"/>
      <c r="D12" s="174"/>
      <c r="E12" s="174"/>
      <c r="F12" s="174"/>
    </row>
    <row r="13" spans="2:13" ht="14.5" customHeight="1" x14ac:dyDescent="0.35">
      <c r="B13" s="175" t="s">
        <v>39</v>
      </c>
      <c r="C13" s="175"/>
      <c r="D13" s="175"/>
      <c r="E13" s="41" t="s">
        <v>109</v>
      </c>
      <c r="F13" s="41" t="s">
        <v>110</v>
      </c>
    </row>
    <row r="14" spans="2:13" ht="17" x14ac:dyDescent="0.45">
      <c r="B14" s="173" t="s">
        <v>94</v>
      </c>
      <c r="C14" s="173"/>
      <c r="D14" s="173"/>
      <c r="E14" s="51">
        <v>2</v>
      </c>
      <c r="F14" s="43" t="s">
        <v>1</v>
      </c>
    </row>
    <row r="15" spans="2:13" ht="17" x14ac:dyDescent="0.45">
      <c r="B15" s="173" t="s">
        <v>58</v>
      </c>
      <c r="C15" s="173"/>
      <c r="D15" s="173"/>
      <c r="E15" s="51">
        <v>0</v>
      </c>
      <c r="F15" s="43" t="s">
        <v>0</v>
      </c>
    </row>
    <row r="16" spans="2:13" ht="17" x14ac:dyDescent="0.35">
      <c r="B16" s="178" t="s">
        <v>61</v>
      </c>
      <c r="C16" s="178"/>
      <c r="D16" s="178"/>
      <c r="E16" s="52">
        <f>I10*(0.47*(I10/E4*E3)^(-0.94))*10000</f>
        <v>1.3749774298471527</v>
      </c>
      <c r="F16" s="43" t="s">
        <v>0</v>
      </c>
    </row>
    <row r="17" spans="2:6" ht="17" x14ac:dyDescent="0.35">
      <c r="B17" s="179" t="s">
        <v>64</v>
      </c>
      <c r="C17" s="179"/>
      <c r="D17" s="179"/>
      <c r="E17" s="52">
        <f>E16/C10</f>
        <v>0.13749774298471526</v>
      </c>
      <c r="F17" s="43" t="s">
        <v>0</v>
      </c>
    </row>
    <row r="18" spans="2:6" x14ac:dyDescent="0.35">
      <c r="B18" s="180" t="s">
        <v>95</v>
      </c>
      <c r="C18" s="180"/>
      <c r="D18" s="180"/>
      <c r="E18" s="52">
        <f>ASIN((6*H10*F10*(G10+F10*E17)^(H10-1))/(2*(1+H10)*(2+H10)+6*H10*F10*(G10+F10*E17)^(H10-1)))*180/PI()</f>
        <v>21.736047033731289</v>
      </c>
      <c r="F18" s="43" t="s">
        <v>35</v>
      </c>
    </row>
    <row r="19" spans="2:6" x14ac:dyDescent="0.35">
      <c r="B19" s="180" t="s">
        <v>62</v>
      </c>
      <c r="C19" s="180"/>
      <c r="D19" s="180"/>
      <c r="E19" s="52">
        <f>(1+SIN(E18*PI()/180))/(1-SIN(E18*PI()/180))</f>
        <v>2.1762731783246854</v>
      </c>
      <c r="F19" s="43"/>
    </row>
    <row r="20" spans="2:6" ht="17" x14ac:dyDescent="0.45">
      <c r="B20" s="173" t="s">
        <v>63</v>
      </c>
      <c r="C20" s="173"/>
      <c r="D20" s="173"/>
      <c r="E20" s="52">
        <f>(2*E6-I10)/(E19+1)</f>
        <v>2.3644743667239538</v>
      </c>
      <c r="F20" s="43" t="s">
        <v>0</v>
      </c>
    </row>
    <row r="21" spans="2:6" ht="17" customHeight="1" x14ac:dyDescent="0.45">
      <c r="B21" s="173" t="s">
        <v>91</v>
      </c>
      <c r="C21" s="173"/>
      <c r="D21" s="173"/>
      <c r="E21" s="52">
        <f>IF(E15=0,E14*((1.25-0.625*(E15/E6))*(I10/E6)^((E15/E6)-0.57)),IF(E15&lt;E20,E14*((2*(E6*(E19-1)+I10))/((1+E19)*((E19-1)*E15+I10)))^(1/(E19-1)),E14))</f>
        <v>7.4971221079577823</v>
      </c>
      <c r="F21" s="43" t="s">
        <v>1</v>
      </c>
    </row>
    <row r="22" spans="2:6" x14ac:dyDescent="0.35">
      <c r="B22" s="180" t="s">
        <v>67</v>
      </c>
      <c r="C22" s="180"/>
      <c r="D22" s="180"/>
      <c r="E22" s="52">
        <f>IF(C10&gt;100,1000*(1-E5/2)*10^((D10-10)/40),1000*(1-E5/2)*SQRT(C10/100)*10^((D10-10)/40))</f>
        <v>421.69650342858228</v>
      </c>
      <c r="F22" s="43"/>
    </row>
    <row r="23" spans="2:6" ht="17" x14ac:dyDescent="0.45">
      <c r="B23" s="173" t="s">
        <v>60</v>
      </c>
      <c r="C23" s="173"/>
      <c r="D23" s="173"/>
      <c r="E23" s="52">
        <f>E14*((0.2-0.25*(E15/E6))*(I10/E6)^(2.4*(E15/E6)-2))/100</f>
        <v>0.18861873089702239</v>
      </c>
      <c r="F23" s="43" t="s">
        <v>1</v>
      </c>
    </row>
    <row r="24" spans="2:6" ht="14.5" customHeight="1" x14ac:dyDescent="0.35">
      <c r="B24" s="173" t="s">
        <v>66</v>
      </c>
      <c r="C24" s="173"/>
      <c r="D24" s="173"/>
      <c r="E24" s="9">
        <f>(E23/E14)*100</f>
        <v>9.4309365448511198</v>
      </c>
      <c r="F24" s="43" t="s">
        <v>65</v>
      </c>
    </row>
    <row r="26" spans="2:6" x14ac:dyDescent="0.35">
      <c r="B26" s="174" t="s">
        <v>68</v>
      </c>
      <c r="C26" s="174"/>
      <c r="D26" s="174"/>
      <c r="E26" s="174"/>
      <c r="F26" s="174"/>
    </row>
    <row r="27" spans="2:6" x14ac:dyDescent="0.35">
      <c r="B27" s="175" t="s">
        <v>39</v>
      </c>
      <c r="C27" s="175"/>
      <c r="D27" s="175"/>
      <c r="E27" s="41" t="s">
        <v>109</v>
      </c>
      <c r="F27" s="41" t="s">
        <v>110</v>
      </c>
    </row>
    <row r="28" spans="2:6" ht="17" x14ac:dyDescent="0.45">
      <c r="B28" s="173" t="s">
        <v>174</v>
      </c>
      <c r="C28" s="173"/>
      <c r="D28" s="173"/>
      <c r="E28" s="42">
        <v>0.25</v>
      </c>
      <c r="F28" s="43"/>
    </row>
    <row r="29" spans="2:6" ht="17" x14ac:dyDescent="0.45">
      <c r="B29" s="176" t="s">
        <v>93</v>
      </c>
      <c r="C29" s="176"/>
      <c r="D29" s="176"/>
      <c r="E29" s="42">
        <v>4</v>
      </c>
      <c r="F29" s="43" t="s">
        <v>1</v>
      </c>
    </row>
    <row r="30" spans="2:6" x14ac:dyDescent="0.35">
      <c r="B30" s="177" t="s">
        <v>70</v>
      </c>
      <c r="C30" s="177"/>
      <c r="D30" s="177"/>
      <c r="E30" s="42">
        <v>1</v>
      </c>
      <c r="F30" s="43" t="s">
        <v>1</v>
      </c>
    </row>
    <row r="31" spans="2:6" ht="17" x14ac:dyDescent="0.45">
      <c r="B31" s="173" t="s">
        <v>69</v>
      </c>
      <c r="C31" s="173"/>
      <c r="D31" s="173"/>
      <c r="E31" s="52">
        <f>E28*E6</f>
        <v>1.0125</v>
      </c>
      <c r="F31" s="43" t="s">
        <v>0</v>
      </c>
    </row>
    <row r="32" spans="2:6" ht="15" thickBot="1" x14ac:dyDescent="0.4"/>
    <row r="33" spans="3:9" ht="84" x14ac:dyDescent="0.35">
      <c r="C33" s="162" t="s">
        <v>77</v>
      </c>
      <c r="D33" s="163"/>
      <c r="E33" s="40" t="s">
        <v>101</v>
      </c>
      <c r="F33" s="40" t="s">
        <v>96</v>
      </c>
      <c r="G33" s="38" t="s">
        <v>97</v>
      </c>
      <c r="H33" s="38" t="s">
        <v>98</v>
      </c>
      <c r="I33" s="39" t="s">
        <v>102</v>
      </c>
    </row>
    <row r="34" spans="3:9" x14ac:dyDescent="0.35">
      <c r="C34" s="158" t="s">
        <v>103</v>
      </c>
      <c r="D34" s="159"/>
      <c r="E34" s="10">
        <v>305</v>
      </c>
      <c r="F34" s="10">
        <v>305</v>
      </c>
      <c r="G34" s="10">
        <v>97</v>
      </c>
      <c r="H34" s="10">
        <v>1</v>
      </c>
      <c r="I34" s="11">
        <f>(19.9*E29^(-1.23))/E30</f>
        <v>3.616756636834273</v>
      </c>
    </row>
    <row r="35" spans="3:9" x14ac:dyDescent="0.35">
      <c r="C35" s="158"/>
      <c r="D35" s="159"/>
      <c r="E35" s="10">
        <v>203</v>
      </c>
      <c r="F35" s="10">
        <v>203</v>
      </c>
      <c r="G35" s="10">
        <v>67</v>
      </c>
      <c r="H35" s="10">
        <v>2</v>
      </c>
      <c r="I35" s="11">
        <f>(13.2*E29^(-1.3))/E30</f>
        <v>2.1771880527752758</v>
      </c>
    </row>
    <row r="36" spans="3:9" x14ac:dyDescent="0.35">
      <c r="C36" s="158"/>
      <c r="D36" s="159"/>
      <c r="E36" s="10">
        <v>150</v>
      </c>
      <c r="F36" s="10">
        <v>150</v>
      </c>
      <c r="G36" s="10">
        <v>32</v>
      </c>
      <c r="H36" s="10">
        <v>3</v>
      </c>
      <c r="I36" s="11">
        <f>(7*E29^(-1.4))/E30</f>
        <v>1.0051110606224056</v>
      </c>
    </row>
    <row r="37" spans="3:9" x14ac:dyDescent="0.35">
      <c r="C37" s="158" t="s">
        <v>111</v>
      </c>
      <c r="D37" s="159"/>
      <c r="E37" s="10">
        <v>203</v>
      </c>
      <c r="F37" s="10">
        <v>254</v>
      </c>
      <c r="G37" s="10">
        <v>82</v>
      </c>
      <c r="H37" s="10">
        <v>4</v>
      </c>
      <c r="I37" s="11">
        <f>(17.6*E29^(-1.29))/E30</f>
        <v>2.9434406205294472</v>
      </c>
    </row>
    <row r="38" spans="3:9" x14ac:dyDescent="0.35">
      <c r="C38" s="158"/>
      <c r="D38" s="159"/>
      <c r="E38" s="10">
        <v>152</v>
      </c>
      <c r="F38" s="10">
        <v>203</v>
      </c>
      <c r="G38" s="10">
        <v>52</v>
      </c>
      <c r="H38" s="10">
        <v>5</v>
      </c>
      <c r="I38" s="11">
        <f>(11.1*E29^(-1.33))/E30</f>
        <v>1.7562372741337633</v>
      </c>
    </row>
    <row r="39" spans="3:9" x14ac:dyDescent="0.35">
      <c r="C39" s="158" t="s">
        <v>112</v>
      </c>
      <c r="D39" s="159"/>
      <c r="E39" s="10">
        <v>171</v>
      </c>
      <c r="F39" s="10">
        <v>138</v>
      </c>
      <c r="G39" s="10">
        <v>38</v>
      </c>
      <c r="H39" s="10">
        <v>6</v>
      </c>
      <c r="I39" s="11">
        <f>(15.5*E29^(-1.24))/E30</f>
        <v>2.7782882930306658</v>
      </c>
    </row>
    <row r="40" spans="3:9" x14ac:dyDescent="0.35">
      <c r="C40" s="158"/>
      <c r="D40" s="159"/>
      <c r="E40" s="10">
        <v>124</v>
      </c>
      <c r="F40" s="10">
        <v>108</v>
      </c>
      <c r="G40" s="10">
        <v>21</v>
      </c>
      <c r="H40" s="10">
        <v>7</v>
      </c>
      <c r="I40" s="11">
        <f>(8.8*E29^(-1.27))/E30</f>
        <v>1.5130959999537184</v>
      </c>
    </row>
    <row r="41" spans="3:9" x14ac:dyDescent="0.35">
      <c r="C41" s="158" t="s">
        <v>104</v>
      </c>
      <c r="D41" s="159"/>
      <c r="E41" s="10">
        <v>220</v>
      </c>
      <c r="F41" s="10">
        <v>190</v>
      </c>
      <c r="G41" s="10">
        <v>19</v>
      </c>
      <c r="H41" s="10">
        <v>8</v>
      </c>
      <c r="I41" s="20">
        <f>(8.6*E29^(-1.03))/E30</f>
        <v>2.0624178565493181</v>
      </c>
    </row>
    <row r="42" spans="3:9" x14ac:dyDescent="0.35">
      <c r="C42" s="158"/>
      <c r="D42" s="159"/>
      <c r="E42" s="10">
        <v>140</v>
      </c>
      <c r="F42" s="10">
        <v>130</v>
      </c>
      <c r="G42" s="10">
        <v>18</v>
      </c>
      <c r="H42" s="10">
        <v>8</v>
      </c>
      <c r="I42" s="20">
        <f>(8.6*E29^(-1.03))/E30</f>
        <v>2.0624178565493181</v>
      </c>
    </row>
    <row r="43" spans="3:9" x14ac:dyDescent="0.35">
      <c r="C43" s="158" t="s">
        <v>105</v>
      </c>
      <c r="D43" s="159"/>
      <c r="E43" s="10">
        <v>220</v>
      </c>
      <c r="F43" s="10">
        <v>280</v>
      </c>
      <c r="G43" s="10">
        <v>29</v>
      </c>
      <c r="H43" s="12">
        <v>9</v>
      </c>
      <c r="I43" s="20">
        <f>(18.3*E29^(-1.02))/E30</f>
        <v>4.4498963844112067</v>
      </c>
    </row>
    <row r="44" spans="3:9" ht="15" thickBot="1" x14ac:dyDescent="0.4">
      <c r="C44" s="160"/>
      <c r="D44" s="161"/>
      <c r="E44" s="30">
        <v>140</v>
      </c>
      <c r="F44" s="30">
        <v>200</v>
      </c>
      <c r="G44" s="30">
        <v>26</v>
      </c>
      <c r="H44" s="21">
        <v>9</v>
      </c>
      <c r="I44" s="22">
        <f>(18.3*E29^(-1.02))/E30</f>
        <v>4.4498963844112067</v>
      </c>
    </row>
    <row r="45" spans="3:9" ht="84" x14ac:dyDescent="0.35">
      <c r="C45" s="162" t="s">
        <v>77</v>
      </c>
      <c r="D45" s="163"/>
      <c r="E45" s="38" t="s">
        <v>99</v>
      </c>
      <c r="F45" s="38" t="s">
        <v>100</v>
      </c>
      <c r="G45" s="38" t="s">
        <v>84</v>
      </c>
      <c r="H45" s="38" t="s">
        <v>98</v>
      </c>
      <c r="I45" s="39" t="s">
        <v>87</v>
      </c>
    </row>
    <row r="46" spans="3:9" ht="14.5" customHeight="1" x14ac:dyDescent="0.35">
      <c r="C46" s="164" t="s">
        <v>113</v>
      </c>
      <c r="D46" s="165"/>
      <c r="E46" s="13" t="s">
        <v>114</v>
      </c>
      <c r="F46" s="14"/>
      <c r="G46" s="15"/>
      <c r="H46" s="15">
        <v>10</v>
      </c>
      <c r="I46" s="11">
        <f>0.354/(E30^2)</f>
        <v>0.35399999999999998</v>
      </c>
    </row>
    <row r="47" spans="3:9" x14ac:dyDescent="0.35">
      <c r="C47" s="164"/>
      <c r="D47" s="165"/>
      <c r="E47" s="13" t="s">
        <v>115</v>
      </c>
      <c r="F47" s="14"/>
      <c r="G47" s="15"/>
      <c r="H47" s="15">
        <v>11</v>
      </c>
      <c r="I47" s="11">
        <f>0.267/(E30^2)</f>
        <v>0.26700000000000002</v>
      </c>
    </row>
    <row r="48" spans="3:9" x14ac:dyDescent="0.35">
      <c r="C48" s="164"/>
      <c r="D48" s="165"/>
      <c r="E48" s="13" t="s">
        <v>116</v>
      </c>
      <c r="F48" s="17"/>
      <c r="G48" s="16"/>
      <c r="H48" s="15">
        <v>12</v>
      </c>
      <c r="I48" s="11">
        <f>0.184/(E30^2)</f>
        <v>0.184</v>
      </c>
    </row>
    <row r="49" spans="3:9" x14ac:dyDescent="0.35">
      <c r="C49" s="164"/>
      <c r="D49" s="165"/>
      <c r="E49" s="13" t="s">
        <v>117</v>
      </c>
      <c r="F49" s="17"/>
      <c r="G49" s="16"/>
      <c r="H49" s="15">
        <v>13</v>
      </c>
      <c r="I49" s="11">
        <f>0.1/(E30^2)</f>
        <v>0.1</v>
      </c>
    </row>
    <row r="50" spans="3:9" x14ac:dyDescent="0.35">
      <c r="C50" s="164"/>
      <c r="D50" s="165"/>
      <c r="E50" s="13" t="s">
        <v>118</v>
      </c>
      <c r="F50" s="17"/>
      <c r="G50" s="16"/>
      <c r="H50" s="15">
        <v>14</v>
      </c>
      <c r="I50" s="11">
        <f>0.05/(E30^2)</f>
        <v>0.05</v>
      </c>
    </row>
    <row r="51" spans="3:9" x14ac:dyDescent="0.35">
      <c r="C51" s="164"/>
      <c r="D51" s="165"/>
      <c r="E51" s="18" t="s">
        <v>119</v>
      </c>
      <c r="F51" s="23"/>
      <c r="G51" s="19"/>
      <c r="H51" s="15">
        <v>15</v>
      </c>
      <c r="I51" s="11">
        <f>0.11/(E30^2)</f>
        <v>0.11</v>
      </c>
    </row>
    <row r="52" spans="3:9" x14ac:dyDescent="0.35">
      <c r="C52" s="164"/>
      <c r="D52" s="165"/>
      <c r="E52" s="13" t="s">
        <v>120</v>
      </c>
      <c r="F52" s="17"/>
      <c r="G52" s="16"/>
      <c r="H52" s="15">
        <v>16</v>
      </c>
      <c r="I52" s="11">
        <f>0.17/(E30^2)</f>
        <v>0.17</v>
      </c>
    </row>
    <row r="53" spans="3:9" x14ac:dyDescent="0.35">
      <c r="C53" s="164"/>
      <c r="D53" s="166"/>
      <c r="E53" s="25" t="s">
        <v>107</v>
      </c>
      <c r="F53" s="24"/>
      <c r="G53" s="26"/>
      <c r="H53" s="10">
        <v>17</v>
      </c>
      <c r="I53" s="11">
        <f>0.26/(E30^2)</f>
        <v>0.26</v>
      </c>
    </row>
    <row r="54" spans="3:9" x14ac:dyDescent="0.35">
      <c r="C54" s="164"/>
      <c r="D54" s="166"/>
      <c r="E54" s="13" t="s">
        <v>121</v>
      </c>
      <c r="F54" s="17"/>
      <c r="G54" s="16"/>
      <c r="H54" s="10">
        <v>18</v>
      </c>
      <c r="I54" s="11">
        <f>0.15/(E30^2)</f>
        <v>0.15</v>
      </c>
    </row>
    <row r="55" spans="3:9" ht="15" thickBot="1" x14ac:dyDescent="0.4">
      <c r="C55" s="167"/>
      <c r="D55" s="168"/>
      <c r="E55" s="27" t="s">
        <v>122</v>
      </c>
      <c r="F55" s="28"/>
      <c r="G55" s="29"/>
      <c r="H55" s="30">
        <v>19</v>
      </c>
      <c r="I55" s="31">
        <f>0.3/(E30^2)</f>
        <v>0.3</v>
      </c>
    </row>
    <row r="56" spans="3:9" ht="84" x14ac:dyDescent="0.35">
      <c r="C56" s="162" t="s">
        <v>77</v>
      </c>
      <c r="D56" s="163"/>
      <c r="E56" s="38" t="s">
        <v>99</v>
      </c>
      <c r="F56" s="38" t="s">
        <v>100</v>
      </c>
      <c r="G56" s="38" t="s">
        <v>84</v>
      </c>
      <c r="H56" s="38" t="s">
        <v>98</v>
      </c>
      <c r="I56" s="39" t="s">
        <v>102</v>
      </c>
    </row>
    <row r="57" spans="3:9" x14ac:dyDescent="0.35">
      <c r="C57" s="169" t="s">
        <v>106</v>
      </c>
      <c r="D57" s="170"/>
      <c r="E57" s="12">
        <v>1000</v>
      </c>
      <c r="F57" s="12">
        <v>28</v>
      </c>
      <c r="G57" s="12">
        <v>35</v>
      </c>
      <c r="H57" s="12">
        <v>20</v>
      </c>
      <c r="I57" s="20">
        <f>57.8*E29^(-0.92)</f>
        <v>16.144799145143576</v>
      </c>
    </row>
    <row r="58" spans="3:9" x14ac:dyDescent="0.35">
      <c r="C58" s="169"/>
      <c r="D58" s="170"/>
      <c r="E58" s="12">
        <v>300</v>
      </c>
      <c r="F58" s="12">
        <v>28</v>
      </c>
      <c r="G58" s="12">
        <v>35</v>
      </c>
      <c r="H58" s="12">
        <v>21</v>
      </c>
      <c r="I58" s="20">
        <f>19.1*E29^(-0.92)</f>
        <v>5.3350460842948495</v>
      </c>
    </row>
    <row r="59" spans="3:9" x14ac:dyDescent="0.35">
      <c r="C59" s="169"/>
      <c r="D59" s="170"/>
      <c r="E59" s="12">
        <v>150</v>
      </c>
      <c r="F59" s="12">
        <v>28</v>
      </c>
      <c r="G59" s="12">
        <v>35</v>
      </c>
      <c r="H59" s="12">
        <v>22</v>
      </c>
      <c r="I59" s="20">
        <f>10.6*E29^(-0.97)</f>
        <v>2.7625342662289718</v>
      </c>
    </row>
    <row r="60" spans="3:9" x14ac:dyDescent="0.35">
      <c r="C60" s="169"/>
      <c r="D60" s="170"/>
      <c r="E60" s="12">
        <v>100</v>
      </c>
      <c r="F60" s="12">
        <v>28</v>
      </c>
      <c r="G60" s="12">
        <v>35</v>
      </c>
      <c r="H60" s="12">
        <v>23</v>
      </c>
      <c r="I60" s="20">
        <f>7.3*E29^(-0.98)</f>
        <v>1.8763077336473213</v>
      </c>
    </row>
    <row r="61" spans="3:9" x14ac:dyDescent="0.35">
      <c r="C61" s="169"/>
      <c r="D61" s="170"/>
      <c r="E61" s="12">
        <v>50</v>
      </c>
      <c r="F61" s="12">
        <v>28</v>
      </c>
      <c r="G61" s="12">
        <v>35</v>
      </c>
      <c r="H61" s="12">
        <v>24</v>
      </c>
      <c r="I61" s="20">
        <f>3.8*E29^(-0.99)</f>
        <v>0.96326150580052783</v>
      </c>
    </row>
    <row r="62" spans="3:9" x14ac:dyDescent="0.35">
      <c r="C62" s="169"/>
      <c r="D62" s="170"/>
      <c r="E62" s="12">
        <v>50</v>
      </c>
      <c r="F62" s="12">
        <v>3</v>
      </c>
      <c r="G62" s="12">
        <v>11</v>
      </c>
      <c r="H62" s="12">
        <v>25</v>
      </c>
      <c r="I62" s="20">
        <f>1.1*E29^(-0.97)</f>
        <v>0.28667808423130842</v>
      </c>
    </row>
    <row r="63" spans="3:9" ht="15" thickBot="1" x14ac:dyDescent="0.4">
      <c r="C63" s="171"/>
      <c r="D63" s="172"/>
      <c r="E63" s="21">
        <v>50</v>
      </c>
      <c r="F63" s="21">
        <v>0.5</v>
      </c>
      <c r="G63" s="21">
        <v>6</v>
      </c>
      <c r="H63" s="21">
        <v>26</v>
      </c>
      <c r="I63" s="22">
        <f>0.6*E29^(-1)</f>
        <v>0.15</v>
      </c>
    </row>
  </sheetData>
  <mergeCells count="35">
    <mergeCell ref="B6:D6"/>
    <mergeCell ref="B2:D2"/>
    <mergeCell ref="B3:D3"/>
    <mergeCell ref="J3:M3"/>
    <mergeCell ref="J4:M4"/>
    <mergeCell ref="B5:D5"/>
    <mergeCell ref="B23:D23"/>
    <mergeCell ref="B12:F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41:D42"/>
    <mergeCell ref="B24:D24"/>
    <mergeCell ref="B26:F26"/>
    <mergeCell ref="B27:D27"/>
    <mergeCell ref="B28:D28"/>
    <mergeCell ref="B29:D29"/>
    <mergeCell ref="B30:D30"/>
    <mergeCell ref="B31:D31"/>
    <mergeCell ref="C33:D33"/>
    <mergeCell ref="C34:D36"/>
    <mergeCell ref="C37:D38"/>
    <mergeCell ref="C39:D40"/>
    <mergeCell ref="C43:D44"/>
    <mergeCell ref="C45:D45"/>
    <mergeCell ref="C46:D55"/>
    <mergeCell ref="C56:D56"/>
    <mergeCell ref="C57:D63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0735-C5D1-4E17-B654-3F28CDCC749D}">
  <sheetPr codeName="Planilha2"/>
  <dimension ref="A1:AT50"/>
  <sheetViews>
    <sheetView tabSelected="1" zoomScale="55" zoomScaleNormal="55" workbookViewId="0">
      <selection activeCell="B23" sqref="B23"/>
    </sheetView>
  </sheetViews>
  <sheetFormatPr defaultRowHeight="14.5" x14ac:dyDescent="0.35"/>
  <cols>
    <col min="1" max="1" width="2.6328125" style="53" customWidth="1"/>
    <col min="2" max="2" width="53.1796875" style="53" bestFit="1" customWidth="1"/>
    <col min="3" max="3" width="10.90625" style="57" customWidth="1"/>
    <col min="4" max="4" width="2.7265625" style="53" customWidth="1"/>
    <col min="5" max="5" width="44.81640625" style="53" bestFit="1" customWidth="1"/>
    <col min="6" max="6" width="22.26953125" style="54" bestFit="1" customWidth="1"/>
    <col min="7" max="7" width="23.08984375" style="54" bestFit="1" customWidth="1"/>
    <col min="8" max="8" width="2.81640625" style="54" customWidth="1"/>
    <col min="9" max="9" width="9.26953125" style="54" customWidth="1"/>
    <col min="10" max="10" width="26.54296875" style="53" customWidth="1"/>
    <col min="11" max="12" width="6.90625" style="53" customWidth="1"/>
    <col min="13" max="14" width="6.90625" style="55" customWidth="1"/>
    <col min="15" max="15" width="9.36328125" style="55" customWidth="1"/>
    <col min="16" max="16" width="6.453125" style="55" customWidth="1"/>
    <col min="17" max="17" width="9.90625" style="55" bestFit="1" customWidth="1"/>
    <col min="18" max="20" width="8.7265625" style="55" customWidth="1"/>
    <col min="21" max="32" width="8.7265625" style="55"/>
    <col min="33" max="33" width="12" style="55" bestFit="1" customWidth="1"/>
    <col min="34" max="36" width="8.7265625" style="55"/>
    <col min="37" max="37" width="3.1796875" style="55" customWidth="1"/>
    <col min="38" max="40" width="8.7265625" style="216" customWidth="1"/>
    <col min="41" max="43" width="8.7265625" style="217"/>
    <col min="44" max="16384" width="8.7265625" style="55"/>
  </cols>
  <sheetData>
    <row r="1" spans="2:46" ht="15" thickBot="1" x14ac:dyDescent="0.4">
      <c r="B1" s="198"/>
      <c r="C1" s="198"/>
      <c r="E1" s="201" t="s">
        <v>72</v>
      </c>
      <c r="F1" s="202"/>
      <c r="G1" s="203"/>
      <c r="O1" s="56"/>
      <c r="P1" s="56"/>
    </row>
    <row r="2" spans="2:46" ht="117" customHeight="1" thickBot="1" x14ac:dyDescent="0.4">
      <c r="E2" s="58"/>
      <c r="F2" s="59" t="s">
        <v>166</v>
      </c>
      <c r="G2" s="155" t="s">
        <v>167</v>
      </c>
      <c r="H2" s="60"/>
      <c r="I2" s="61" t="s">
        <v>85</v>
      </c>
      <c r="J2" s="62" t="s">
        <v>77</v>
      </c>
      <c r="K2" s="63" t="s">
        <v>101</v>
      </c>
      <c r="L2" s="63" t="s">
        <v>96</v>
      </c>
      <c r="M2" s="64" t="s">
        <v>97</v>
      </c>
      <c r="N2" s="64" t="s">
        <v>98</v>
      </c>
      <c r="O2" s="65" t="s">
        <v>124</v>
      </c>
      <c r="P2" s="66"/>
      <c r="Q2" s="67"/>
      <c r="R2" s="68"/>
      <c r="AL2" s="221" t="s">
        <v>175</v>
      </c>
      <c r="AM2" s="221"/>
      <c r="AN2" s="221"/>
      <c r="AO2" s="222" t="s">
        <v>176</v>
      </c>
      <c r="AP2" s="222"/>
      <c r="AQ2" s="222"/>
      <c r="AR2" s="222"/>
      <c r="AS2" s="222"/>
      <c r="AT2" s="222"/>
    </row>
    <row r="3" spans="2:46" ht="17" customHeight="1" x14ac:dyDescent="0.45">
      <c r="B3" s="69" t="s">
        <v>71</v>
      </c>
      <c r="C3" s="70"/>
      <c r="E3" s="71" t="s">
        <v>125</v>
      </c>
      <c r="F3" s="190">
        <f>y*z</f>
        <v>3.75</v>
      </c>
      <c r="G3" s="191"/>
      <c r="I3" s="72" t="s">
        <v>6</v>
      </c>
      <c r="J3" s="183" t="s">
        <v>103</v>
      </c>
      <c r="K3" s="73">
        <v>305</v>
      </c>
      <c r="L3" s="73">
        <v>305</v>
      </c>
      <c r="M3" s="73">
        <v>97</v>
      </c>
      <c r="N3" s="73">
        <v>1</v>
      </c>
      <c r="O3" s="74">
        <f>(19.9*D^(-1.23))/spacing</f>
        <v>1.1717988741576217</v>
      </c>
      <c r="P3" s="66"/>
      <c r="Q3" s="75" t="s">
        <v>39</v>
      </c>
      <c r="R3" s="204" t="s">
        <v>38</v>
      </c>
      <c r="S3" s="205"/>
      <c r="T3" s="205"/>
      <c r="U3" s="205"/>
      <c r="V3" s="205"/>
      <c r="W3" s="205"/>
      <c r="X3" s="205"/>
      <c r="Y3" s="206"/>
      <c r="Z3" s="76" t="s">
        <v>37</v>
      </c>
      <c r="AL3" s="221"/>
      <c r="AM3" s="221"/>
      <c r="AN3" s="221"/>
      <c r="AO3" s="222"/>
      <c r="AP3" s="222"/>
      <c r="AQ3" s="222"/>
      <c r="AR3" s="222"/>
      <c r="AS3" s="222"/>
      <c r="AT3" s="222"/>
    </row>
    <row r="4" spans="2:46" ht="17" x14ac:dyDescent="0.45">
      <c r="B4" s="77" t="s">
        <v>126</v>
      </c>
      <c r="C4" s="78">
        <v>150</v>
      </c>
      <c r="E4" s="79" t="s">
        <v>127</v>
      </c>
      <c r="F4" s="80">
        <f>sigci*(((mb+4*s-a*(mb-8*s))*(mb/4+s)^(a-1))/(2*(1+a)*(2+a)))</f>
        <v>0.39603551607401888</v>
      </c>
      <c r="G4" s="81">
        <f>sumsig1/8-k*sumsig3/8</f>
        <v>0.28155425321358241</v>
      </c>
      <c r="H4" s="82"/>
      <c r="I4" s="72" t="s">
        <v>7</v>
      </c>
      <c r="J4" s="184"/>
      <c r="K4" s="73">
        <v>203</v>
      </c>
      <c r="L4" s="73">
        <v>203</v>
      </c>
      <c r="M4" s="73">
        <v>67</v>
      </c>
      <c r="N4" s="73">
        <v>2</v>
      </c>
      <c r="O4" s="83">
        <f>(13.2*D^(-1.3))/spacing</f>
        <v>0.66156714838799913</v>
      </c>
      <c r="P4" s="66"/>
      <c r="Q4" s="72" t="s">
        <v>2</v>
      </c>
      <c r="R4" s="84">
        <v>1E-10</v>
      </c>
      <c r="S4" s="85">
        <f>sigci*(1/28)</f>
        <v>0.17857142857142855</v>
      </c>
      <c r="T4" s="85">
        <f>sigci*(1/28)*2</f>
        <v>0.3571428571428571</v>
      </c>
      <c r="U4" s="85">
        <f>sigci*(1/28)*3</f>
        <v>0.53571428571428559</v>
      </c>
      <c r="V4" s="85">
        <f>sigci*(1/28)*4</f>
        <v>0.71428571428571419</v>
      </c>
      <c r="W4" s="85">
        <f>sigci*(1/28)*5</f>
        <v>0.89285714285714279</v>
      </c>
      <c r="X4" s="85">
        <f>sigci*(1/28)*6</f>
        <v>1.0714285714285712</v>
      </c>
      <c r="Y4" s="85">
        <f>sigci*(1/28)*7</f>
        <v>1.2499999999999998</v>
      </c>
      <c r="Z4" s="86">
        <f>SUM(S4:Y4)</f>
        <v>4.9999999999999991</v>
      </c>
      <c r="AL4" s="221"/>
      <c r="AM4" s="221"/>
      <c r="AN4" s="221"/>
      <c r="AO4" s="222"/>
      <c r="AP4" s="222"/>
      <c r="AQ4" s="222"/>
      <c r="AR4" s="222"/>
      <c r="AS4" s="222"/>
      <c r="AT4" s="222"/>
    </row>
    <row r="5" spans="2:46" ht="17" x14ac:dyDescent="0.45">
      <c r="B5" s="71" t="s">
        <v>128</v>
      </c>
      <c r="C5" s="78">
        <v>23</v>
      </c>
      <c r="E5" s="71" t="s">
        <v>129</v>
      </c>
      <c r="F5" s="199">
        <f>mi*EXP((GSI-100)/(28-14*fatD))</f>
        <v>0.51142288965366056</v>
      </c>
      <c r="G5" s="200"/>
      <c r="I5" s="72" t="s">
        <v>8</v>
      </c>
      <c r="J5" s="187"/>
      <c r="K5" s="73">
        <v>150</v>
      </c>
      <c r="L5" s="73">
        <v>150</v>
      </c>
      <c r="M5" s="73">
        <v>32</v>
      </c>
      <c r="N5" s="73">
        <v>3</v>
      </c>
      <c r="O5" s="83">
        <f>(7*D^(-1.4))/spacing</f>
        <v>0.2786750193874481</v>
      </c>
      <c r="P5" s="66"/>
      <c r="Q5" s="72" t="s">
        <v>3</v>
      </c>
      <c r="R5" s="73">
        <v>0</v>
      </c>
      <c r="S5" s="85">
        <f>S4+sigci*(((mb*S4)/sigci)+s)^a</f>
        <v>0.76419933255993433</v>
      </c>
      <c r="T5" s="85">
        <f>T4+sigci*(((mb*T4)/sigci)+s)^a</f>
        <v>1.2061292150186103</v>
      </c>
      <c r="U5" s="85">
        <f t="shared" ref="U5:Y5" si="0">U4+sigci*(((mb*U4)/sigci)+s)^a</f>
        <v>1.5906909410564798</v>
      </c>
      <c r="V5" s="85">
        <f t="shared" si="0"/>
        <v>1.94506353574909</v>
      </c>
      <c r="W5" s="85">
        <f t="shared" si="0"/>
        <v>2.2799319592421705</v>
      </c>
      <c r="X5" s="85">
        <f t="shared" si="0"/>
        <v>2.6008310848041845</v>
      </c>
      <c r="Y5" s="85">
        <f t="shared" si="0"/>
        <v>2.9110741348952267</v>
      </c>
      <c r="Z5" s="86">
        <f>SUM(S5:Y5)</f>
        <v>13.297920203325695</v>
      </c>
      <c r="AL5" s="216">
        <f>T11</f>
        <v>28.552478926627035</v>
      </c>
      <c r="AM5" s="216">
        <f>T12</f>
        <v>0</v>
      </c>
      <c r="AN5" s="216">
        <f>T14</f>
        <v>30.397895581434568</v>
      </c>
      <c r="AO5" s="222"/>
      <c r="AP5" s="222"/>
      <c r="AQ5" s="222"/>
      <c r="AR5" s="222"/>
      <c r="AS5" s="222"/>
      <c r="AT5" s="222"/>
    </row>
    <row r="6" spans="2:46" ht="17" x14ac:dyDescent="0.45">
      <c r="B6" s="71" t="s">
        <v>130</v>
      </c>
      <c r="C6" s="78">
        <v>10</v>
      </c>
      <c r="E6" s="71" t="s">
        <v>131</v>
      </c>
      <c r="F6" s="87">
        <f>EXP((GSI-100)/(9-3*fatD))</f>
        <v>1.9247283028863478E-4</v>
      </c>
      <c r="G6" s="152">
        <f>IF(GSI&gt;25,EXP((GSI-100)/(9-3*fatD)),0)</f>
        <v>0</v>
      </c>
      <c r="I6" s="72" t="s">
        <v>9</v>
      </c>
      <c r="J6" s="209" t="s">
        <v>132</v>
      </c>
      <c r="K6" s="73">
        <v>203</v>
      </c>
      <c r="L6" s="73">
        <v>254</v>
      </c>
      <c r="M6" s="73">
        <v>82</v>
      </c>
      <c r="N6" s="73">
        <v>4</v>
      </c>
      <c r="O6" s="83">
        <f>(17.6*D^(-1.29))/spacing</f>
        <v>0.90263603582480167</v>
      </c>
      <c r="P6" s="66"/>
      <c r="Q6" s="72" t="s">
        <v>4</v>
      </c>
      <c r="R6" s="73">
        <v>0</v>
      </c>
      <c r="S6" s="85">
        <f>S4*S5</f>
        <v>0.13646416652855969</v>
      </c>
      <c r="T6" s="85">
        <f t="shared" ref="T6:Y6" si="1">T4*T5</f>
        <v>0.4307604339352179</v>
      </c>
      <c r="U6" s="85">
        <f t="shared" si="1"/>
        <v>0.85215586128025678</v>
      </c>
      <c r="V6" s="85">
        <f t="shared" si="1"/>
        <v>1.3893310969636354</v>
      </c>
      <c r="W6" s="85">
        <f t="shared" si="1"/>
        <v>2.0356535350376519</v>
      </c>
      <c r="X6" s="85">
        <f t="shared" si="1"/>
        <v>2.7866047337187685</v>
      </c>
      <c r="Y6" s="85">
        <f t="shared" si="1"/>
        <v>3.6388426686190329</v>
      </c>
      <c r="Z6" s="86">
        <f>SUM(S6:Y6)</f>
        <v>11.269812496083123</v>
      </c>
      <c r="AE6" s="56"/>
      <c r="AF6" s="56"/>
      <c r="AG6" s="56"/>
      <c r="AH6" s="56"/>
      <c r="AL6" s="216">
        <f>U11</f>
        <v>9.0802701451157635</v>
      </c>
      <c r="AM6" s="216">
        <f>U12</f>
        <v>0.22493695943149197</v>
      </c>
      <c r="AN6" s="216">
        <f>U14</f>
        <v>15.238217531714994</v>
      </c>
    </row>
    <row r="7" spans="2:46" ht="15" thickBot="1" x14ac:dyDescent="0.4">
      <c r="B7" s="88" t="s">
        <v>74</v>
      </c>
      <c r="C7" s="89">
        <v>1</v>
      </c>
      <c r="E7" s="71" t="s">
        <v>133</v>
      </c>
      <c r="F7" s="90">
        <f>1/2+1/6*(EXP(-GSI/15)-EXP(-20/3))</f>
        <v>0.53575707493289171</v>
      </c>
      <c r="G7" s="81">
        <f>IF(GSI&gt;25,0.5,1/2+1/6*(EXP(-GSI/15)-EXP(-20/3)))</f>
        <v>0.53575707493289171</v>
      </c>
      <c r="H7" s="82"/>
      <c r="I7" s="72" t="s">
        <v>10</v>
      </c>
      <c r="J7" s="210"/>
      <c r="K7" s="73">
        <v>152</v>
      </c>
      <c r="L7" s="73">
        <v>203</v>
      </c>
      <c r="M7" s="73">
        <v>52</v>
      </c>
      <c r="N7" s="73">
        <v>5</v>
      </c>
      <c r="O7" s="83">
        <f>(11.1*D^(-1.33))/spacing</f>
        <v>0.51918600682878957</v>
      </c>
      <c r="P7" s="66"/>
      <c r="Q7" s="91" t="s">
        <v>5</v>
      </c>
      <c r="R7" s="92">
        <v>0</v>
      </c>
      <c r="S7" s="93">
        <f t="shared" ref="S7:Y7" si="2">S4^2</f>
        <v>3.188775510204081E-2</v>
      </c>
      <c r="T7" s="93">
        <f t="shared" si="2"/>
        <v>0.12755102040816324</v>
      </c>
      <c r="U7" s="93">
        <f t="shared" si="2"/>
        <v>0.28698979591836721</v>
      </c>
      <c r="V7" s="93">
        <f t="shared" si="2"/>
        <v>0.51020408163265296</v>
      </c>
      <c r="W7" s="93">
        <f t="shared" si="2"/>
        <v>0.79719387755102034</v>
      </c>
      <c r="X7" s="93">
        <f t="shared" si="2"/>
        <v>1.1479591836734688</v>
      </c>
      <c r="Y7" s="93">
        <f t="shared" si="2"/>
        <v>1.5624999999999996</v>
      </c>
      <c r="Z7" s="94">
        <f>SUM(S7:Y7)</f>
        <v>4.4642857142857135</v>
      </c>
      <c r="AE7" s="56"/>
      <c r="AF7" s="56"/>
      <c r="AG7" s="56"/>
      <c r="AH7" s="56"/>
      <c r="AL7" s="216">
        <f>V11</f>
        <v>4.5250402609707852</v>
      </c>
      <c r="AM7" s="216">
        <f>V12</f>
        <v>0.44987391886298395</v>
      </c>
      <c r="AN7" s="216">
        <f>V14</f>
        <v>9.5416139352096287</v>
      </c>
    </row>
    <row r="8" spans="2:46" ht="17.5" thickBot="1" x14ac:dyDescent="0.4">
      <c r="E8" s="95" t="s">
        <v>134</v>
      </c>
      <c r="F8" s="80">
        <f>F4/po</f>
        <v>0.1056094709530717</v>
      </c>
      <c r="G8" s="96">
        <f>sigcm/po</f>
        <v>7.508113419028864E-2</v>
      </c>
      <c r="H8" s="82"/>
      <c r="I8" s="72" t="s">
        <v>11</v>
      </c>
      <c r="J8" s="211" t="s">
        <v>135</v>
      </c>
      <c r="K8" s="73">
        <v>171</v>
      </c>
      <c r="L8" s="73">
        <v>138</v>
      </c>
      <c r="M8" s="73">
        <v>38</v>
      </c>
      <c r="N8" s="73">
        <v>6</v>
      </c>
      <c r="O8" s="83">
        <f>(15.5*D^(-1.24))/spacing</f>
        <v>0.89193190287259316</v>
      </c>
      <c r="P8" s="66"/>
      <c r="AE8" s="56"/>
      <c r="AF8" s="97"/>
      <c r="AG8" s="97"/>
      <c r="AH8" s="56"/>
      <c r="AL8" s="216">
        <f>W11</f>
        <v>2.7135213178786395</v>
      </c>
      <c r="AM8" s="216">
        <f>W12</f>
        <v>0.67481087829447595</v>
      </c>
      <c r="AN8" s="216">
        <f>W14</f>
        <v>6.4901151012755847</v>
      </c>
    </row>
    <row r="9" spans="2:46" ht="17.5" thickBot="1" x14ac:dyDescent="0.5">
      <c r="B9" s="69" t="s">
        <v>34</v>
      </c>
      <c r="C9" s="70"/>
      <c r="E9" s="77" t="s">
        <v>136</v>
      </c>
      <c r="F9" s="207">
        <f>D/2</f>
        <v>5</v>
      </c>
      <c r="G9" s="208"/>
      <c r="I9" s="72" t="s">
        <v>12</v>
      </c>
      <c r="J9" s="212"/>
      <c r="K9" s="73">
        <v>124</v>
      </c>
      <c r="L9" s="73">
        <v>108</v>
      </c>
      <c r="M9" s="73">
        <v>21</v>
      </c>
      <c r="N9" s="73">
        <v>7</v>
      </c>
      <c r="O9" s="83">
        <f>(8.8*D^(-1.27))/spacing</f>
        <v>0.47258798080582226</v>
      </c>
      <c r="P9" s="66"/>
      <c r="Q9" s="67" t="s">
        <v>123</v>
      </c>
      <c r="AL9" s="216">
        <f>X11</f>
        <v>1.8024181571781215</v>
      </c>
      <c r="AM9" s="216">
        <f>X12</f>
        <v>0.89974783772596789</v>
      </c>
      <c r="AN9" s="216">
        <f>X14</f>
        <v>4.567567401226178</v>
      </c>
    </row>
    <row r="10" spans="2:46" ht="17" x14ac:dyDescent="0.45">
      <c r="B10" s="79" t="s">
        <v>137</v>
      </c>
      <c r="C10" s="78">
        <v>5</v>
      </c>
      <c r="E10" s="95" t="s">
        <v>138</v>
      </c>
      <c r="F10" s="80">
        <f>F4*(0.47*(F4/y*z)^(-0.94))*10000</f>
        <v>1.2488196701034453</v>
      </c>
      <c r="G10" s="96" t="s">
        <v>168</v>
      </c>
      <c r="I10" s="72" t="s">
        <v>13</v>
      </c>
      <c r="J10" s="183" t="s">
        <v>104</v>
      </c>
      <c r="K10" s="73">
        <v>220</v>
      </c>
      <c r="L10" s="73">
        <v>190</v>
      </c>
      <c r="M10" s="73">
        <v>19</v>
      </c>
      <c r="N10" s="73">
        <v>8</v>
      </c>
      <c r="O10" s="98">
        <f>(8.6*D^(-1.03))/spacing</f>
        <v>0.802598698685412</v>
      </c>
      <c r="P10" s="66"/>
      <c r="Q10" s="213" t="s">
        <v>78</v>
      </c>
      <c r="R10" s="214"/>
      <c r="S10" s="215"/>
      <c r="T10" s="99">
        <f>IF(T13&gt;D/2,D*((1+mu)/E)*(2*(1-mu)*(po-pcr)*((T13/(0.5*D))^2)-(1-2*mu)*(po-T12)),D*(1+mu)*(po-T12)/E)</f>
        <v>2.8552478926627036</v>
      </c>
      <c r="U10" s="99">
        <f t="shared" ref="U10:AJ10" si="3">IF(U13&gt;D/2,D*((1+mu)/E)*(2*(1-mu)*(po-pcr)*((U13/(0.5*D))^2)-(1-2*mu)*(po-U12)),D*(1+mu)*(po-U12)/E)</f>
        <v>0.90802701451157641</v>
      </c>
      <c r="V10" s="99">
        <f t="shared" si="3"/>
        <v>0.45250402609707852</v>
      </c>
      <c r="W10" s="99">
        <f>IF(W13&gt;D/2,D*((1+mu)/E)*(2*(1-mu)*(po-pcr)*((W13/(0.5*D))^2)-(1-2*mu)*(po-W12)),D*(1+mu)*(po-W12)/E)</f>
        <v>0.27135213178786394</v>
      </c>
      <c r="X10" s="99">
        <f t="shared" si="3"/>
        <v>0.18024181571781214</v>
      </c>
      <c r="Y10" s="99">
        <f t="shared" si="3"/>
        <v>0.12792750701120228</v>
      </c>
      <c r="Z10" s="99">
        <f t="shared" si="3"/>
        <v>9.527590964635442E-2</v>
      </c>
      <c r="AA10" s="99">
        <f t="shared" si="3"/>
        <v>7.3735339375099337E-2</v>
      </c>
      <c r="AB10" s="99">
        <f t="shared" si="3"/>
        <v>5.8984896721806096E-2</v>
      </c>
      <c r="AC10" s="99">
        <f t="shared" si="3"/>
        <v>4.863705785079056E-2</v>
      </c>
      <c r="AD10" s="99">
        <f t="shared" si="3"/>
        <v>4.1279277941432414E-2</v>
      </c>
      <c r="AE10" s="99">
        <f t="shared" si="3"/>
        <v>3.5091721543470254E-2</v>
      </c>
      <c r="AF10" s="99">
        <f t="shared" si="3"/>
        <v>2.8904165145508094E-2</v>
      </c>
      <c r="AG10" s="99">
        <f t="shared" si="3"/>
        <v>2.2716608747545934E-2</v>
      </c>
      <c r="AH10" s="99">
        <f t="shared" si="3"/>
        <v>1.6529052349583774E-2</v>
      </c>
      <c r="AI10" s="99">
        <f t="shared" si="3"/>
        <v>1.0341495951621612E-2</v>
      </c>
      <c r="AJ10" s="100">
        <f t="shared" si="3"/>
        <v>4.1539395536594539E-3</v>
      </c>
      <c r="AL10" s="216">
        <f>Y11</f>
        <v>1.2792750701120228</v>
      </c>
      <c r="AM10" s="216">
        <f>Y12</f>
        <v>1.1246847971574598</v>
      </c>
      <c r="AN10" s="216">
        <f>Y14</f>
        <v>3.236312483655464</v>
      </c>
    </row>
    <row r="11" spans="2:46" ht="17" x14ac:dyDescent="0.35">
      <c r="B11" s="101" t="s">
        <v>139</v>
      </c>
      <c r="C11" s="78">
        <v>2.5000000000000001E-2</v>
      </c>
      <c r="E11" s="95" t="s">
        <v>140</v>
      </c>
      <c r="F11" s="80">
        <f>F10/sigci</f>
        <v>0.24976393402068905</v>
      </c>
      <c r="G11" s="157" t="s">
        <v>171</v>
      </c>
      <c r="I11" s="72" t="s">
        <v>14</v>
      </c>
      <c r="J11" s="187"/>
      <c r="K11" s="73">
        <v>140</v>
      </c>
      <c r="L11" s="73">
        <v>130</v>
      </c>
      <c r="M11" s="73">
        <v>18</v>
      </c>
      <c r="N11" s="73">
        <v>8</v>
      </c>
      <c r="O11" s="98">
        <f>(8.6*D^(-1.03))/spacing</f>
        <v>0.802598698685412</v>
      </c>
      <c r="P11" s="66"/>
      <c r="Q11" s="192" t="s">
        <v>170</v>
      </c>
      <c r="R11" s="193"/>
      <c r="S11" s="194"/>
      <c r="T11" s="102">
        <f>T10*10</f>
        <v>28.552478926627035</v>
      </c>
      <c r="U11" s="102">
        <f t="shared" ref="U11:AE11" si="4">U10*10</f>
        <v>9.0802701451157635</v>
      </c>
      <c r="V11" s="102">
        <f t="shared" si="4"/>
        <v>4.5250402609707852</v>
      </c>
      <c r="W11" s="102">
        <f t="shared" si="4"/>
        <v>2.7135213178786395</v>
      </c>
      <c r="X11" s="102">
        <f t="shared" si="4"/>
        <v>1.8024181571781215</v>
      </c>
      <c r="Y11" s="102">
        <f t="shared" si="4"/>
        <v>1.2792750701120228</v>
      </c>
      <c r="Z11" s="102">
        <f t="shared" si="4"/>
        <v>0.95275909646354418</v>
      </c>
      <c r="AA11" s="102">
        <f t="shared" si="4"/>
        <v>0.7373533937509934</v>
      </c>
      <c r="AB11" s="102">
        <f t="shared" si="4"/>
        <v>0.5898489672180609</v>
      </c>
      <c r="AC11" s="102">
        <f t="shared" si="4"/>
        <v>0.4863705785079056</v>
      </c>
      <c r="AD11" s="102">
        <f t="shared" si="4"/>
        <v>0.41279277941432413</v>
      </c>
      <c r="AE11" s="102">
        <f t="shared" si="4"/>
        <v>0.35091721543470256</v>
      </c>
      <c r="AF11" s="102">
        <f t="shared" ref="AF11" si="5">AF10*10</f>
        <v>0.28904165145508093</v>
      </c>
      <c r="AG11" s="102">
        <f t="shared" ref="AG11" si="6">AG10*10</f>
        <v>0.22716608747545936</v>
      </c>
      <c r="AH11" s="102">
        <f t="shared" ref="AH11" si="7">AH10*10</f>
        <v>0.16529052349583773</v>
      </c>
      <c r="AI11" s="102">
        <f t="shared" ref="AI11" si="8">AI10*10</f>
        <v>0.10341495951621613</v>
      </c>
      <c r="AJ11" s="103">
        <f t="shared" ref="AJ11" si="9">AJ10*10</f>
        <v>4.1539395536594539E-2</v>
      </c>
      <c r="AL11" s="216">
        <f>Z11</f>
        <v>0.95275909646354418</v>
      </c>
      <c r="AM11" s="216">
        <f>Z12</f>
        <v>1.3496217565889519</v>
      </c>
      <c r="AN11" s="216">
        <f>Z14</f>
        <v>2.2554324248674238</v>
      </c>
    </row>
    <row r="12" spans="2:46" ht="17" x14ac:dyDescent="0.45">
      <c r="B12" s="71" t="s">
        <v>141</v>
      </c>
      <c r="C12" s="78">
        <v>8</v>
      </c>
      <c r="E12" s="77" t="s">
        <v>142</v>
      </c>
      <c r="F12" s="80">
        <f>ASIN((6*a*mb*(s+mb*F11)^(a-1))/(2*(1+a)*(2+a)+6*a*mb*(s+mb*F11)^(a-1)))*180/PI()</f>
        <v>20.750165240146512</v>
      </c>
      <c r="G12" s="81">
        <f>ASIN((k-1)/(k+1))*180/PI()</f>
        <v>22.133861252555043</v>
      </c>
      <c r="I12" s="72" t="s">
        <v>15</v>
      </c>
      <c r="J12" s="183" t="s">
        <v>105</v>
      </c>
      <c r="K12" s="73">
        <v>220</v>
      </c>
      <c r="L12" s="73">
        <v>280</v>
      </c>
      <c r="M12" s="73">
        <v>29</v>
      </c>
      <c r="N12" s="104">
        <v>9</v>
      </c>
      <c r="O12" s="98">
        <f>(18.3*D^(-1.02))/spacing</f>
        <v>1.7476364324192273</v>
      </c>
      <c r="P12" s="66"/>
      <c r="Q12" s="192" t="s">
        <v>80</v>
      </c>
      <c r="R12" s="193"/>
      <c r="S12" s="194"/>
      <c r="T12" s="102">
        <f>pis</f>
        <v>0</v>
      </c>
      <c r="U12" s="102">
        <f>T12+0.1*pcr</f>
        <v>0.22493695943149197</v>
      </c>
      <c r="V12" s="102">
        <f t="shared" ref="V12:AJ12" si="10">U12+0.1*pcr</f>
        <v>0.44987391886298395</v>
      </c>
      <c r="W12" s="102">
        <f t="shared" si="10"/>
        <v>0.67481087829447595</v>
      </c>
      <c r="X12" s="102">
        <f t="shared" si="10"/>
        <v>0.89974783772596789</v>
      </c>
      <c r="Y12" s="102">
        <f t="shared" si="10"/>
        <v>1.1246847971574598</v>
      </c>
      <c r="Z12" s="102">
        <f t="shared" si="10"/>
        <v>1.3496217565889519</v>
      </c>
      <c r="AA12" s="102">
        <f t="shared" si="10"/>
        <v>1.5745587160204439</v>
      </c>
      <c r="AB12" s="102">
        <f t="shared" si="10"/>
        <v>1.799495675451936</v>
      </c>
      <c r="AC12" s="102">
        <f t="shared" si="10"/>
        <v>2.0244326348834281</v>
      </c>
      <c r="AD12" s="102">
        <f t="shared" si="10"/>
        <v>2.2493695943149201</v>
      </c>
      <c r="AE12" s="102">
        <f t="shared" si="10"/>
        <v>2.4743065537464122</v>
      </c>
      <c r="AF12" s="102">
        <f t="shared" si="10"/>
        <v>2.6992435131779042</v>
      </c>
      <c r="AG12" s="102">
        <f t="shared" si="10"/>
        <v>2.9241804726093963</v>
      </c>
      <c r="AH12" s="102">
        <f t="shared" si="10"/>
        <v>3.1491174320408883</v>
      </c>
      <c r="AI12" s="102">
        <f t="shared" si="10"/>
        <v>3.3740543914723804</v>
      </c>
      <c r="AJ12" s="103">
        <f t="shared" si="10"/>
        <v>3.5989913509038725</v>
      </c>
      <c r="AL12" s="216">
        <f>AA11</f>
        <v>0.7373533937509934</v>
      </c>
      <c r="AM12" s="216">
        <f>AA12</f>
        <v>1.5745587160204439</v>
      </c>
      <c r="AN12" s="216">
        <f>AA14</f>
        <v>1.5001779139030633</v>
      </c>
    </row>
    <row r="13" spans="2:46" ht="15" thickBot="1" x14ac:dyDescent="0.4">
      <c r="B13" s="71" t="s">
        <v>143</v>
      </c>
      <c r="C13" s="78">
        <v>0.3</v>
      </c>
      <c r="E13" s="71" t="s">
        <v>36</v>
      </c>
      <c r="F13" s="80">
        <f>((sigci*((1+2*a)*s+(1-a)*mb*F11)*(s+mb*F11)^(a-1))/((1+a)*(2+a)*SQRT(1+((6*a*mb*(s+mb*F11))^(a-1))/((1+a)*(2+a)))))</f>
        <v>0.16000982836389771</v>
      </c>
      <c r="G13" s="81">
        <f>(sigcm*(1-SIN(phi*PI()/180)))/(2*COS(phi*PI()/180))</f>
        <v>9.4716290423889155E-2</v>
      </c>
      <c r="I13" s="91" t="s">
        <v>16</v>
      </c>
      <c r="J13" s="185"/>
      <c r="K13" s="92">
        <v>140</v>
      </c>
      <c r="L13" s="92">
        <v>200</v>
      </c>
      <c r="M13" s="92">
        <v>26</v>
      </c>
      <c r="N13" s="105">
        <v>9</v>
      </c>
      <c r="O13" s="106">
        <f>(18.3*D^(-1.02))/spacing</f>
        <v>1.7476364324192273</v>
      </c>
      <c r="P13" s="66"/>
      <c r="Q13" s="192" t="s">
        <v>81</v>
      </c>
      <c r="R13" s="193"/>
      <c r="S13" s="194"/>
      <c r="T13" s="102">
        <f>IF(T12&lt;pcr,0.5*D*(2*(po*(k-1)+sigcm)/((1+k)*((k-1)*T12+sigcm)))^(1/(k-1)),D/2)</f>
        <v>35.397895581434568</v>
      </c>
      <c r="U13" s="102">
        <f t="shared" ref="U13:AJ13" si="11">IF(U12&lt;pcr,0.5*D*(2*(po*(k-1)+sigcm)/((1+k)*((k-1)*U12+sigcm)))^(1/(k-1)),D/2)</f>
        <v>20.238217531714994</v>
      </c>
      <c r="V13" s="102">
        <f t="shared" si="11"/>
        <v>14.541613935209629</v>
      </c>
      <c r="W13" s="102">
        <f t="shared" si="11"/>
        <v>11.490115101275585</v>
      </c>
      <c r="X13" s="102">
        <f t="shared" si="11"/>
        <v>9.567567401226178</v>
      </c>
      <c r="Y13" s="102">
        <f t="shared" si="11"/>
        <v>8.236312483655464</v>
      </c>
      <c r="Z13" s="102">
        <f t="shared" si="11"/>
        <v>7.2554324248674238</v>
      </c>
      <c r="AA13" s="102">
        <f t="shared" si="11"/>
        <v>6.5001779139030633</v>
      </c>
      <c r="AB13" s="102">
        <f t="shared" si="11"/>
        <v>5.8992110057370066</v>
      </c>
      <c r="AC13" s="102">
        <f t="shared" si="11"/>
        <v>5.4086602196015967</v>
      </c>
      <c r="AD13" s="102">
        <f t="shared" si="11"/>
        <v>5</v>
      </c>
      <c r="AE13" s="102">
        <f t="shared" si="11"/>
        <v>5</v>
      </c>
      <c r="AF13" s="102">
        <f t="shared" si="11"/>
        <v>5</v>
      </c>
      <c r="AG13" s="102">
        <f t="shared" si="11"/>
        <v>5</v>
      </c>
      <c r="AH13" s="102">
        <f t="shared" si="11"/>
        <v>5</v>
      </c>
      <c r="AI13" s="102">
        <f t="shared" si="11"/>
        <v>5</v>
      </c>
      <c r="AJ13" s="103">
        <f t="shared" si="11"/>
        <v>5</v>
      </c>
      <c r="AL13" s="216">
        <f>AB11</f>
        <v>0.5898489672180609</v>
      </c>
      <c r="AM13" s="216">
        <f>AB12</f>
        <v>1.799495675451936</v>
      </c>
      <c r="AN13" s="216">
        <f>AB14</f>
        <v>0.89921100573700663</v>
      </c>
    </row>
    <row r="14" spans="2:46" ht="15" customHeight="1" thickBot="1" x14ac:dyDescent="0.4">
      <c r="B14" s="88" t="s">
        <v>144</v>
      </c>
      <c r="C14" s="107">
        <v>0</v>
      </c>
      <c r="E14" s="77" t="s">
        <v>145</v>
      </c>
      <c r="F14" s="80">
        <f>(1+SIN(F12*PI()/180))/(1-SIN(F12*PI()/180))</f>
        <v>2.0973836063473934</v>
      </c>
      <c r="G14" s="81">
        <f>(sumsig3sig1-(sumsig3*sumsig1)/8)/(sumsig3sq-(sumsig3^2)/8)</f>
        <v>2.2090972355234078</v>
      </c>
      <c r="I14" s="108" t="s">
        <v>17</v>
      </c>
      <c r="J14" s="186" t="s">
        <v>146</v>
      </c>
      <c r="K14" s="109" t="s">
        <v>147</v>
      </c>
      <c r="L14" s="110"/>
      <c r="M14" s="111"/>
      <c r="N14" s="112">
        <v>10</v>
      </c>
      <c r="O14" s="113">
        <f>0.354/(spacing^2)</f>
        <v>0.35399999999999998</v>
      </c>
      <c r="P14" s="114"/>
      <c r="Q14" s="195" t="s">
        <v>82</v>
      </c>
      <c r="R14" s="196"/>
      <c r="S14" s="197"/>
      <c r="T14" s="115">
        <f>T13-(D/2)</f>
        <v>30.397895581434568</v>
      </c>
      <c r="U14" s="115">
        <f t="shared" ref="U14:AJ14" si="12">U13-(D/2)</f>
        <v>15.238217531714994</v>
      </c>
      <c r="V14" s="115">
        <f t="shared" si="12"/>
        <v>9.5416139352096287</v>
      </c>
      <c r="W14" s="115">
        <f t="shared" si="12"/>
        <v>6.4901151012755847</v>
      </c>
      <c r="X14" s="115">
        <f t="shared" si="12"/>
        <v>4.567567401226178</v>
      </c>
      <c r="Y14" s="115">
        <f t="shared" si="12"/>
        <v>3.236312483655464</v>
      </c>
      <c r="Z14" s="115">
        <f t="shared" si="12"/>
        <v>2.2554324248674238</v>
      </c>
      <c r="AA14" s="115">
        <f t="shared" si="12"/>
        <v>1.5001779139030633</v>
      </c>
      <c r="AB14" s="115">
        <f t="shared" si="12"/>
        <v>0.89921100573700663</v>
      </c>
      <c r="AC14" s="115">
        <f t="shared" si="12"/>
        <v>0.40866021960159671</v>
      </c>
      <c r="AD14" s="115">
        <f t="shared" si="12"/>
        <v>0</v>
      </c>
      <c r="AE14" s="115">
        <f t="shared" si="12"/>
        <v>0</v>
      </c>
      <c r="AF14" s="115">
        <f t="shared" si="12"/>
        <v>0</v>
      </c>
      <c r="AG14" s="115">
        <f t="shared" si="12"/>
        <v>0</v>
      </c>
      <c r="AH14" s="115">
        <f t="shared" si="12"/>
        <v>0</v>
      </c>
      <c r="AI14" s="115">
        <f t="shared" si="12"/>
        <v>0</v>
      </c>
      <c r="AJ14" s="116">
        <f t="shared" si="12"/>
        <v>0</v>
      </c>
      <c r="AL14" s="216">
        <f>AC11</f>
        <v>0.4863705785079056</v>
      </c>
      <c r="AM14" s="216">
        <f>AC12</f>
        <v>2.0244326348834281</v>
      </c>
      <c r="AN14" s="216">
        <f>AC14</f>
        <v>0.40866021960159671</v>
      </c>
    </row>
    <row r="15" spans="2:46" ht="17.5" thickBot="1" x14ac:dyDescent="0.5">
      <c r="E15" s="77" t="s">
        <v>148</v>
      </c>
      <c r="F15" s="80">
        <f>(2*po-F4)/(F14+1)</f>
        <v>2.2935371871175398</v>
      </c>
      <c r="G15" s="81">
        <f>(2*po-sigcm)/(1+k)</f>
        <v>2.2493695943149197</v>
      </c>
      <c r="I15" s="72" t="s">
        <v>18</v>
      </c>
      <c r="J15" s="184"/>
      <c r="K15" s="117" t="s">
        <v>149</v>
      </c>
      <c r="L15" s="118"/>
      <c r="M15" s="119"/>
      <c r="N15" s="73">
        <v>11</v>
      </c>
      <c r="O15" s="74">
        <f>0.267/(spacing^2)</f>
        <v>0.26700000000000002</v>
      </c>
      <c r="P15" s="114"/>
      <c r="R15" s="120"/>
      <c r="AL15" s="216">
        <f>AD11</f>
        <v>0.41279277941432413</v>
      </c>
      <c r="AM15" s="216">
        <f>AD12</f>
        <v>2.2493695943149201</v>
      </c>
      <c r="AN15" s="216">
        <f>AD73</f>
        <v>0</v>
      </c>
    </row>
    <row r="16" spans="2:46" ht="15" thickBot="1" x14ac:dyDescent="0.4">
      <c r="B16" s="69" t="s">
        <v>73</v>
      </c>
      <c r="C16" s="70"/>
      <c r="E16" s="71" t="s">
        <v>150</v>
      </c>
      <c r="F16" s="190">
        <f>IF(sigci&gt;100,1000*(1-fatD/2)*10^((GSI-10)/40),1000*(1-fatD/2)*SQRT(sigci/100)*10^((GSI-10)/40))</f>
        <v>472.59051627755031</v>
      </c>
      <c r="G16" s="191"/>
      <c r="I16" s="72" t="s">
        <v>19</v>
      </c>
      <c r="J16" s="184"/>
      <c r="K16" s="117" t="s">
        <v>151</v>
      </c>
      <c r="L16" s="121"/>
      <c r="M16" s="122"/>
      <c r="N16" s="73">
        <v>12</v>
      </c>
      <c r="O16" s="74">
        <f>0.184/(spacing^2)</f>
        <v>0.184</v>
      </c>
      <c r="P16" s="114"/>
      <c r="Q16" s="67" t="s">
        <v>83</v>
      </c>
      <c r="AL16" s="216">
        <f>AE11</f>
        <v>0.35091721543470256</v>
      </c>
      <c r="AM16" s="216">
        <f>AE12</f>
        <v>2.4743065537464122</v>
      </c>
      <c r="AN16" s="216">
        <f>AE14</f>
        <v>0</v>
      </c>
    </row>
    <row r="17" spans="2:40" ht="17" x14ac:dyDescent="0.45">
      <c r="B17" s="71" t="s">
        <v>75</v>
      </c>
      <c r="C17" s="78">
        <v>0.82</v>
      </c>
      <c r="E17" s="77" t="s">
        <v>152</v>
      </c>
      <c r="F17" s="80" t="s">
        <v>169</v>
      </c>
      <c r="G17" s="156" t="s">
        <v>168</v>
      </c>
      <c r="I17" s="72" t="s">
        <v>20</v>
      </c>
      <c r="J17" s="184"/>
      <c r="K17" s="117" t="s">
        <v>153</v>
      </c>
      <c r="L17" s="121"/>
      <c r="M17" s="122"/>
      <c r="N17" s="73">
        <v>13</v>
      </c>
      <c r="O17" s="74">
        <f>0.1/(spacing^2)</f>
        <v>0.1</v>
      </c>
      <c r="P17" s="114"/>
      <c r="Q17" s="123"/>
      <c r="R17" s="124"/>
      <c r="S17" s="125" t="s">
        <v>79</v>
      </c>
      <c r="T17" s="126">
        <f>C18+F25/3</f>
        <v>8</v>
      </c>
      <c r="U17" s="126">
        <f>T17+C19</f>
        <v>9.35</v>
      </c>
      <c r="V17" s="113">
        <f>T11</f>
        <v>28.552478926627035</v>
      </c>
      <c r="AL17" s="216">
        <f>AF11</f>
        <v>0.28904165145508093</v>
      </c>
      <c r="AM17" s="216">
        <f>AF12</f>
        <v>2.6992435131779042</v>
      </c>
      <c r="AN17" s="216">
        <f>AF14</f>
        <v>0</v>
      </c>
    </row>
    <row r="18" spans="2:40" ht="17.5" thickBot="1" x14ac:dyDescent="0.5">
      <c r="B18" s="71" t="s">
        <v>76</v>
      </c>
      <c r="C18" s="78">
        <v>5</v>
      </c>
      <c r="E18" s="77" t="s">
        <v>154</v>
      </c>
      <c r="F18" s="80" t="s">
        <v>169</v>
      </c>
      <c r="G18" s="156" t="s">
        <v>168</v>
      </c>
      <c r="I18" s="72" t="s">
        <v>21</v>
      </c>
      <c r="J18" s="184"/>
      <c r="K18" s="117" t="s">
        <v>155</v>
      </c>
      <c r="L18" s="121"/>
      <c r="M18" s="122"/>
      <c r="N18" s="73">
        <v>14</v>
      </c>
      <c r="O18" s="74">
        <f>0.05/(spacing^2)</f>
        <v>0.05</v>
      </c>
      <c r="P18" s="114"/>
      <c r="Q18" s="127"/>
      <c r="R18" s="128"/>
      <c r="S18" s="129" t="s">
        <v>156</v>
      </c>
      <c r="T18" s="92">
        <v>0</v>
      </c>
      <c r="U18" s="153">
        <f>F29</f>
        <v>0.51918600682878957</v>
      </c>
      <c r="V18" s="154">
        <f>U18</f>
        <v>0.51918600682878957</v>
      </c>
      <c r="AL18" s="216">
        <f>AG11</f>
        <v>0.22716608747545936</v>
      </c>
      <c r="AM18" s="216">
        <f>AG12</f>
        <v>2.9241804726093963</v>
      </c>
      <c r="AN18" s="216">
        <f>AG14</f>
        <v>0</v>
      </c>
    </row>
    <row r="19" spans="2:40" ht="17" x14ac:dyDescent="0.45">
      <c r="B19" s="71" t="s">
        <v>157</v>
      </c>
      <c r="C19" s="78">
        <v>1.35</v>
      </c>
      <c r="E19" s="77" t="s">
        <v>158</v>
      </c>
      <c r="F19" s="80" t="s">
        <v>169</v>
      </c>
      <c r="G19" s="156" t="s">
        <v>168</v>
      </c>
      <c r="I19" s="72" t="s">
        <v>22</v>
      </c>
      <c r="J19" s="184"/>
      <c r="K19" s="117" t="s">
        <v>159</v>
      </c>
      <c r="L19" s="121"/>
      <c r="M19" s="122"/>
      <c r="N19" s="73">
        <v>15</v>
      </c>
      <c r="O19" s="74">
        <f>0.11/(spacing^2)</f>
        <v>0.11</v>
      </c>
      <c r="P19" s="114"/>
      <c r="AL19" s="216">
        <f>AH11</f>
        <v>0.16529052349583773</v>
      </c>
      <c r="AM19" s="216">
        <f>AH12</f>
        <v>3.1491174320408883</v>
      </c>
      <c r="AN19" s="216">
        <f>AH14</f>
        <v>0</v>
      </c>
    </row>
    <row r="20" spans="2:40" ht="17.5" thickBot="1" x14ac:dyDescent="0.5">
      <c r="B20" s="131" t="s">
        <v>160</v>
      </c>
      <c r="C20" s="107">
        <v>0</v>
      </c>
      <c r="E20" s="132" t="s">
        <v>134</v>
      </c>
      <c r="F20" s="133">
        <f>F4/po</f>
        <v>0.1056094709530717</v>
      </c>
      <c r="G20" s="134">
        <f>sigcm/po</f>
        <v>7.508113419028864E-2</v>
      </c>
      <c r="H20" s="135"/>
      <c r="I20" s="72" t="s">
        <v>23</v>
      </c>
      <c r="J20" s="184"/>
      <c r="K20" s="117" t="s">
        <v>161</v>
      </c>
      <c r="L20" s="121"/>
      <c r="M20" s="122"/>
      <c r="N20" s="73">
        <v>16</v>
      </c>
      <c r="O20" s="74">
        <f>0.17/(spacing^2)</f>
        <v>0.17</v>
      </c>
      <c r="P20" s="114"/>
      <c r="Q20" s="136" t="s">
        <v>88</v>
      </c>
      <c r="AL20" s="216">
        <f>AI11</f>
        <v>0.10341495951621613</v>
      </c>
      <c r="AM20" s="216">
        <f>AI12</f>
        <v>3.3740543914723804</v>
      </c>
      <c r="AN20" s="216">
        <f>AI14</f>
        <v>0</v>
      </c>
    </row>
    <row r="21" spans="2:40" x14ac:dyDescent="0.35">
      <c r="G21" s="55"/>
      <c r="H21" s="82"/>
      <c r="I21" s="72" t="s">
        <v>24</v>
      </c>
      <c r="J21" s="184"/>
      <c r="K21" s="117" t="s">
        <v>107</v>
      </c>
      <c r="L21" s="121"/>
      <c r="M21" s="122"/>
      <c r="N21" s="73">
        <v>17</v>
      </c>
      <c r="O21" s="74">
        <f>0.26/(spacing^2)</f>
        <v>0.26</v>
      </c>
      <c r="P21" s="114"/>
      <c r="Q21" s="55" t="s">
        <v>89</v>
      </c>
      <c r="R21" s="66"/>
      <c r="S21" s="66"/>
      <c r="T21" s="66"/>
      <c r="AL21" s="216">
        <f>AJ11</f>
        <v>4.1539395536594539E-2</v>
      </c>
      <c r="AM21" s="216">
        <f>AJ12</f>
        <v>3.5989913509038725</v>
      </c>
      <c r="AN21" s="216">
        <f>AJ14</f>
        <v>0</v>
      </c>
    </row>
    <row r="22" spans="2:40" x14ac:dyDescent="0.35">
      <c r="E22" s="137"/>
      <c r="F22" s="138"/>
      <c r="G22" s="55"/>
      <c r="I22" s="72" t="s">
        <v>25</v>
      </c>
      <c r="J22" s="184"/>
      <c r="K22" s="117" t="s">
        <v>108</v>
      </c>
      <c r="L22" s="121"/>
      <c r="M22" s="122"/>
      <c r="N22" s="73">
        <v>18</v>
      </c>
      <c r="O22" s="74">
        <f>0.15/(spacing^2)</f>
        <v>0.15</v>
      </c>
      <c r="P22" s="114"/>
      <c r="Q22" s="136" t="s">
        <v>90</v>
      </c>
      <c r="AL22" s="216">
        <f>T17</f>
        <v>8</v>
      </c>
      <c r="AM22" s="216">
        <f>T18</f>
        <v>0</v>
      </c>
    </row>
    <row r="23" spans="2:40" ht="15" thickBot="1" x14ac:dyDescent="0.4">
      <c r="G23" s="139"/>
      <c r="H23" s="82"/>
      <c r="I23" s="91" t="s">
        <v>26</v>
      </c>
      <c r="J23" s="185"/>
      <c r="K23" s="140" t="s">
        <v>162</v>
      </c>
      <c r="L23" s="141"/>
      <c r="M23" s="142"/>
      <c r="N23" s="92">
        <v>19</v>
      </c>
      <c r="O23" s="130">
        <f>0.3/(spacing^2)</f>
        <v>0.3</v>
      </c>
      <c r="P23" s="114"/>
      <c r="AL23" s="216">
        <f>U17</f>
        <v>9.35</v>
      </c>
      <c r="AM23" s="218">
        <f>U18</f>
        <v>0.51918600682878957</v>
      </c>
    </row>
    <row r="24" spans="2:40" ht="84" x14ac:dyDescent="0.35">
      <c r="E24" s="188" t="s">
        <v>68</v>
      </c>
      <c r="F24" s="189"/>
      <c r="G24" s="139"/>
      <c r="H24" s="143"/>
      <c r="I24" s="144" t="s">
        <v>85</v>
      </c>
      <c r="J24" s="62" t="s">
        <v>77</v>
      </c>
      <c r="K24" s="64" t="s">
        <v>99</v>
      </c>
      <c r="L24" s="64" t="s">
        <v>100</v>
      </c>
      <c r="M24" s="64" t="s">
        <v>84</v>
      </c>
      <c r="N24" s="64" t="s">
        <v>98</v>
      </c>
      <c r="O24" s="65" t="s">
        <v>124</v>
      </c>
      <c r="AL24" s="216">
        <f>V17</f>
        <v>28.552478926627035</v>
      </c>
      <c r="AM24" s="216">
        <f>V18</f>
        <v>0.51918600682878957</v>
      </c>
    </row>
    <row r="25" spans="2:40" ht="14.5" customHeight="1" thickBot="1" x14ac:dyDescent="0.4">
      <c r="E25" s="71" t="s">
        <v>172</v>
      </c>
      <c r="F25" s="78">
        <v>9</v>
      </c>
      <c r="G25" s="145"/>
      <c r="H25" s="82"/>
      <c r="I25" s="72" t="s">
        <v>27</v>
      </c>
      <c r="J25" s="183" t="s">
        <v>106</v>
      </c>
      <c r="K25" s="104">
        <v>1000</v>
      </c>
      <c r="L25" s="104">
        <v>28</v>
      </c>
      <c r="M25" s="104">
        <v>35</v>
      </c>
      <c r="N25" s="104">
        <v>20</v>
      </c>
      <c r="O25" s="146">
        <f>57.8*D^(-0.92)</f>
        <v>6.9490884320886463</v>
      </c>
      <c r="Q25" s="67" t="s">
        <v>165</v>
      </c>
    </row>
    <row r="26" spans="2:40" ht="17" x14ac:dyDescent="0.45">
      <c r="E26" s="71" t="s">
        <v>173</v>
      </c>
      <c r="F26" s="78">
        <v>0.15</v>
      </c>
      <c r="G26" s="147"/>
      <c r="I26" s="72" t="s">
        <v>28</v>
      </c>
      <c r="J26" s="184"/>
      <c r="K26" s="104">
        <v>300</v>
      </c>
      <c r="L26" s="104">
        <v>28</v>
      </c>
      <c r="M26" s="104">
        <v>35</v>
      </c>
      <c r="N26" s="104">
        <v>21</v>
      </c>
      <c r="O26" s="146">
        <f>19.1*D^(-0.92)</f>
        <v>2.2963250701192588</v>
      </c>
      <c r="Q26" s="213" t="s">
        <v>78</v>
      </c>
      <c r="R26" s="214"/>
      <c r="S26" s="215"/>
      <c r="T26" s="99">
        <f>ro*((0.2-0.25*(T28/po))*(F4/po)^(2.4*(T28/po)-2))/100</f>
        <v>0.89659077459360303</v>
      </c>
      <c r="U26" s="99">
        <f>ro*((0.2-0.25*(U28/po))*(F4/po)^(2.4*(U28/po)-2))/100</f>
        <v>0.59531520319159437</v>
      </c>
      <c r="V26" s="99">
        <f>ro*((0.2-0.25*(V28/po))*(F4/po)^(2.4*(V28/po)-2))/100</f>
        <v>0.39256667791689309</v>
      </c>
      <c r="W26" s="99">
        <f>ro*((0.2-0.25*(W28/po))*(F4/po)^(2.4*(W28/po)-2))/100</f>
        <v>0.25676036667203717</v>
      </c>
      <c r="X26" s="99">
        <f>ro*((0.2-0.25*(X28/po))*(F4/po)^(2.4*(X28/po)-2))/100</f>
        <v>0.16628278342826733</v>
      </c>
      <c r="Y26" s="99">
        <f>ro*((0.2-0.25*(Y28/po))*(F4/po)^(2.4*(Y28/po)-2))/100</f>
        <v>0.10638173109074398</v>
      </c>
      <c r="Z26" s="99">
        <f>ro*((0.2-0.25*(Z28/po))*(F4/po)^(2.4*(Z28/po)-2))/100</f>
        <v>6.7016785718820457E-2</v>
      </c>
      <c r="AA26" s="99">
        <f>ro*((0.2-0.25*(AA28/po))*(F4/po)^(2.4*(AA28/po)-2))/100</f>
        <v>4.1376060764645298E-2</v>
      </c>
      <c r="AB26" s="99">
        <f>ro*((0.2-0.25*(AB28/po))*(F4/po)^(2.4*(AB28/po)-2))/100</f>
        <v>2.4854522458550913E-2</v>
      </c>
      <c r="AC26" s="99">
        <f>ro*((0.2-0.25*(AC28/po))*(F4/po)^(2.4*(AC28/po)-2))/100</f>
        <v>1.4351577043732109E-2</v>
      </c>
      <c r="AD26" s="99">
        <f>ro*((0.2-0.25*(AD28/po))*(F4/po)^(2.4*(AD28/po)-2))/100</f>
        <v>7.7891684865656566E-3</v>
      </c>
      <c r="AE26" s="99">
        <f>ro*((0.2-0.25*(AE28/po))*(F4/po)^(2.4*(AE28/po)-2))/100</f>
        <v>3.781920233892966E-3</v>
      </c>
      <c r="AF26" s="99">
        <f>ro*((0.2-0.25*(AF28/po))*(F4/po)^(2.4*(AF28/po)-2))/100</f>
        <v>1.4119217684450455E-3</v>
      </c>
      <c r="AG26" s="99">
        <f>ro*((0.2-0.25*(AG28/po))*(F4/po)^(2.4*(AG28/po)-2))/100</f>
        <v>7.5394098306313058E-5</v>
      </c>
      <c r="AH26" s="99">
        <f>ro*((0.2-0.25*(AH28/po))*(F4/po)^(2.4*(AH28/po)-2))/100</f>
        <v>-6.2137972562433755E-4</v>
      </c>
      <c r="AI26" s="99">
        <f>ro*((0.2-0.25*(AI28/po))*(F4/po)^(2.4*(AI28/po)-2))/100</f>
        <v>-9.324392997220772E-4</v>
      </c>
      <c r="AJ26" s="100">
        <f>ro*((0.2-0.25*(AJ28/po))*(F4/po)^(2.4*(AJ28/po)-2))/100</f>
        <v>-1.0195607174099787E-3</v>
      </c>
      <c r="AL26" s="219">
        <f>ROUND(pcr,5)</f>
        <v>2.2493699999999999</v>
      </c>
      <c r="AM26" s="216">
        <f>INDEX(AL5:AL21,MATCH(AL26,AM5:AM21))</f>
        <v>0.41279277941432413</v>
      </c>
    </row>
    <row r="27" spans="2:40" ht="17" x14ac:dyDescent="0.45">
      <c r="E27" s="71" t="s">
        <v>163</v>
      </c>
      <c r="F27" s="148">
        <f>F26*po</f>
        <v>0.5625</v>
      </c>
      <c r="G27" s="139"/>
      <c r="I27" s="72" t="s">
        <v>29</v>
      </c>
      <c r="J27" s="184"/>
      <c r="K27" s="104">
        <v>150</v>
      </c>
      <c r="L27" s="104">
        <v>28</v>
      </c>
      <c r="M27" s="104">
        <v>35</v>
      </c>
      <c r="N27" s="104">
        <v>22</v>
      </c>
      <c r="O27" s="146">
        <f>10.6*D^(-0.97)</f>
        <v>1.1358104635518627</v>
      </c>
      <c r="Q27" s="192" t="s">
        <v>170</v>
      </c>
      <c r="R27" s="193"/>
      <c r="S27" s="194"/>
      <c r="T27" s="102">
        <f t="shared" ref="T27:AJ27" si="13">T26/ro*100</f>
        <v>17.931815491872062</v>
      </c>
      <c r="U27" s="102">
        <f t="shared" si="13"/>
        <v>11.906304063831888</v>
      </c>
      <c r="V27" s="102">
        <f t="shared" si="13"/>
        <v>7.8513335583378616</v>
      </c>
      <c r="W27" s="102">
        <f t="shared" si="13"/>
        <v>5.1352073334407429</v>
      </c>
      <c r="X27" s="102">
        <f t="shared" si="13"/>
        <v>3.3256556685653464</v>
      </c>
      <c r="Y27" s="102">
        <f t="shared" si="13"/>
        <v>2.1276346218148796</v>
      </c>
      <c r="Z27" s="102">
        <f t="shared" si="13"/>
        <v>1.3403357143764092</v>
      </c>
      <c r="AA27" s="102">
        <f t="shared" si="13"/>
        <v>0.8275212152929059</v>
      </c>
      <c r="AB27" s="102">
        <f t="shared" si="13"/>
        <v>0.4970904491710183</v>
      </c>
      <c r="AC27" s="102">
        <f t="shared" si="13"/>
        <v>0.28703154087464217</v>
      </c>
      <c r="AD27" s="102">
        <f t="shared" si="13"/>
        <v>0.15578336973131313</v>
      </c>
      <c r="AE27" s="102">
        <f t="shared" si="13"/>
        <v>7.5638404677859317E-2</v>
      </c>
      <c r="AF27" s="102">
        <f t="shared" si="13"/>
        <v>2.8238435368900906E-2</v>
      </c>
      <c r="AG27" s="102">
        <f t="shared" si="13"/>
        <v>1.5078819661262612E-3</v>
      </c>
      <c r="AH27" s="102">
        <f t="shared" si="13"/>
        <v>-1.2427594512486749E-2</v>
      </c>
      <c r="AI27" s="102">
        <f t="shared" si="13"/>
        <v>-1.8648785994441544E-2</v>
      </c>
      <c r="AJ27" s="103">
        <f t="shared" si="13"/>
        <v>-2.0391214348199575E-2</v>
      </c>
    </row>
    <row r="28" spans="2:40" x14ac:dyDescent="0.35">
      <c r="E28" s="71" t="s">
        <v>86</v>
      </c>
      <c r="F28" s="78" t="s">
        <v>10</v>
      </c>
      <c r="G28" s="60"/>
      <c r="I28" s="72" t="s">
        <v>30</v>
      </c>
      <c r="J28" s="184"/>
      <c r="K28" s="104">
        <v>100</v>
      </c>
      <c r="L28" s="104">
        <v>28</v>
      </c>
      <c r="M28" s="104">
        <v>35</v>
      </c>
      <c r="N28" s="104">
        <v>23</v>
      </c>
      <c r="O28" s="146">
        <f>7.3*D^(-0.98)</f>
        <v>0.76440384007715667</v>
      </c>
      <c r="Q28" s="192" t="s">
        <v>80</v>
      </c>
      <c r="R28" s="193"/>
      <c r="S28" s="194"/>
      <c r="T28" s="102">
        <f>pis</f>
        <v>0</v>
      </c>
      <c r="U28" s="102">
        <f>T28+0.1*F15</f>
        <v>0.229353718711754</v>
      </c>
      <c r="V28" s="102">
        <f>U28+0.1*F15</f>
        <v>0.458707437423508</v>
      </c>
      <c r="W28" s="102">
        <f>V28+0.1*F15</f>
        <v>0.68806115613526198</v>
      </c>
      <c r="X28" s="102">
        <f>W28+0.1*F15</f>
        <v>0.917414874847016</v>
      </c>
      <c r="Y28" s="102">
        <f>X28+0.1*F15</f>
        <v>1.1467685935587699</v>
      </c>
      <c r="Z28" s="102">
        <f>Y28+0.1*F15</f>
        <v>1.376122312270524</v>
      </c>
      <c r="AA28" s="102">
        <f>Z28+0.1*F15</f>
        <v>1.605476030982278</v>
      </c>
      <c r="AB28" s="102">
        <f>AA28+0.1*F15</f>
        <v>1.834829749694032</v>
      </c>
      <c r="AC28" s="102">
        <f>AB28+0.1*F15</f>
        <v>2.064183468405786</v>
      </c>
      <c r="AD28" s="102">
        <f>AC28+0.1*F15</f>
        <v>2.2935371871175398</v>
      </c>
      <c r="AE28" s="102">
        <f>AD28+0.1*F15</f>
        <v>2.5228909058292937</v>
      </c>
      <c r="AF28" s="102">
        <f>AE28+0.1*F15</f>
        <v>2.7522446245410475</v>
      </c>
      <c r="AG28" s="102">
        <f>AF28+0.1*F15</f>
        <v>2.9815983432528013</v>
      </c>
      <c r="AH28" s="102">
        <f>AG28+0.1*F15</f>
        <v>3.2109520619645551</v>
      </c>
      <c r="AI28" s="102">
        <f>AH28+0.1*F15</f>
        <v>3.4403057806763089</v>
      </c>
      <c r="AJ28" s="103">
        <f>AI28+0.1*F15</f>
        <v>3.6696594993880627</v>
      </c>
    </row>
    <row r="29" spans="2:40" ht="17.5" thickBot="1" x14ac:dyDescent="0.4">
      <c r="E29" s="149" t="s">
        <v>164</v>
      </c>
      <c r="F29" s="150">
        <f>VLOOKUP(F28,I3:O31,7,)</f>
        <v>0.51918600682878957</v>
      </c>
      <c r="G29" s="60"/>
      <c r="I29" s="72" t="s">
        <v>31</v>
      </c>
      <c r="J29" s="184"/>
      <c r="K29" s="104">
        <v>50</v>
      </c>
      <c r="L29" s="104">
        <v>28</v>
      </c>
      <c r="M29" s="104">
        <v>35</v>
      </c>
      <c r="N29" s="104">
        <v>24</v>
      </c>
      <c r="O29" s="146">
        <f>3.8*D^(-0.99)</f>
        <v>0.3888513370666864</v>
      </c>
      <c r="Q29" s="192" t="s">
        <v>81</v>
      </c>
      <c r="R29" s="193"/>
      <c r="S29" s="194"/>
      <c r="T29" s="102">
        <f>IF(T28=0,ro*((1.25-0.625*(T28/po))*(F4/po)^((T28/po)-0.57)),IF(T28&lt;F15,ro*((2*(po*(F14-1)+F4))/((1+F14)*((F14-1)*T28+F4)))^(1/(F14-1)),ro))</f>
        <v>22.50968321663548</v>
      </c>
      <c r="U29" s="102">
        <f>IF(U28=0,ro*((1.25-0.625*(U28/po))*(F4/po)^((U28/po)-0.57)),IF(U28&lt;F15,ro*((2*(po*(F14-1)+F4))/((1+F14)*((F14-1)*U28+F4)))^(1/(F14-1)),ro))</f>
        <v>19.677330685021609</v>
      </c>
      <c r="V29" s="102">
        <f>IF(V28=0,ro*((1.25-0.625*(V28/po))*(F4/po)^((V28/po)-0.57)),IF(V28&lt;F15,ro*((2*(po*(F14-1)+F4))/((1+F14)*((F14-1)*V28+F4)))^(1/(F14-1)),ro))</f>
        <v>14.589785882762589</v>
      </c>
      <c r="W29" s="102">
        <f>IF(W28=0,ro*((1.25-0.625*(W28/po))*(F4/po)^((W28/po)-0.57)),IF(W28&lt;F15,ro*((2*(po*(F14-1)+F4))/((1+F14)*((F14-1)*W28+F4)))^(1/(F14-1)),ro))</f>
        <v>11.652078346717314</v>
      </c>
      <c r="X29" s="102">
        <f>IF(X28=0,ro*((1.25-0.625*(X28/po))*(F4/po)^((X28/po)-0.57)),IF(X28&lt;F15,ro*((2*(po*(F14-1)+F4))/((1+F14)*((F14-1)*X28+F4)))^(1/(F14-1)),ro))</f>
        <v>9.7307277314504148</v>
      </c>
      <c r="Y29" s="102">
        <f>IF(Y28=0,ro*((1.25-0.625*(Y28/po))*(F4/po)^((Y28/po)-0.57)),IF(Y28&lt;F15,ro*((2*(po*(F14-1)+F4))/((1+F14)*((F14-1)*Y28+F4)))^(1/(F14-1)),ro))</f>
        <v>8.3721456568865253</v>
      </c>
      <c r="Z29" s="102">
        <f>IF(Z28=0,ro*((1.25-0.625*(Z28/po))*(F4/po)^((Z28/po)-0.57)),IF(Z28&lt;F15,ro*((2*(po*(F14-1)+F4))/((1+F14)*((F14-1)*Z28+F4)))^(1/(F14-1)),ro))</f>
        <v>7.3585883741865823</v>
      </c>
      <c r="AA29" s="102">
        <f>IF(AA28=0,ro*((1.25-0.625*(AA28/po))*(F4/po)^((AA28/po)-0.57)),IF(AA28&lt;F15,ro*((2*(po*(F14-1)+F4))/((1+F14)*((F14-1)*AA28+F4)))^(1/(F14-1)),ro))</f>
        <v>6.5722309438073374</v>
      </c>
      <c r="AB29" s="102">
        <f>IF(AB28=0,ro*((1.25-0.625*(AB28/po))*(F4/po)^((AB28/po)-0.57)),IF(AB28&lt;F15,ro*((2*(po*(F14-1)+F4))/((1+F14)*((F14-1)*AB28+F4)))^(1/(F14-1)),ro))</f>
        <v>5.9436348745554737</v>
      </c>
      <c r="AC29" s="102">
        <f>IF(AC28=0,ro*((1.25-0.625*(AC28/po))*(F4/po)^((AC28/po)-0.57)),IF(AC28&lt;F15,ro*((2*(po*(F14-1)+F4))/((1+F14)*((F14-1)*AC28+F4)))^(1/(F14-1)),ro))</f>
        <v>5.4291665523613872</v>
      </c>
      <c r="AD29" s="102">
        <f>IF(AD28=0,ro*((1.25-0.625*(AD28/po))*(F4/po)^((AD28/po)-0.57)),IF(AD28&lt;F15,ro*((2*(po*(F14-1)+F4))/((1+F14)*((F14-1)*AD28+F4)))^(1/(F14-1)),ro))</f>
        <v>5</v>
      </c>
      <c r="AE29" s="102">
        <f>IF(AE28=0,ro*((1.25-0.625*(AE28/po))*(F4/po)^((AE28/po)-0.57)),IF(AE28&lt;F15,ro*((2*(po*(F14-1)+F4))/((1+F14)*((F14-1)*AE28+F4)))^(1/(F14-1)),ro))</f>
        <v>5</v>
      </c>
      <c r="AF29" s="102">
        <f>IF(AF28=0,ro*((1.25-0.625*(AF28/po))*(F4/po)^((AF28/po)-0.57)),IF(AF28&lt;F15,ro*((2*(po*(F14-1)+F4))/((1+F14)*((F14-1)*AF28+F4)))^(1/(F14-1)),ro))</f>
        <v>5</v>
      </c>
      <c r="AG29" s="102">
        <f>IF(AG28=0,ro*((1.25-0.625*(AG28/po))*(F4/po)^((AG28/po)-0.57)),IF(AG28&lt;F15,ro*((2*(po*(F14-1)+F4))/((1+F14)*((F14-1)*AG28+F4)))^(1/(F14-1)),ro))</f>
        <v>5</v>
      </c>
      <c r="AH29" s="102">
        <f>IF(AH28=0,ro*((1.25-0.625*(AH28/po))*(F4/po)^((AH28/po)-0.57)),IF(AH28&lt;F15,ro*((2*(po*(F14-1)+F4))/((1+F14)*((F14-1)*AH28+F4)))^(1/(F14-1)),ro))</f>
        <v>5</v>
      </c>
      <c r="AI29" s="102">
        <f>IF(AI28=0,ro*((1.25-0.625*(AI28/po))*(F4/po)^((AI28/po)-0.57)),IF(AI28&lt;F15,ro*((2*(po*(F14-1)+F4))/((1+F14)*((F14-1)*AI28+F4)))^(1/(F14-1)),ro))</f>
        <v>5</v>
      </c>
      <c r="AJ29" s="103">
        <f>IF(AJ28=0,ro*((1.25-0.625*(AJ28/po))*(F4/po)^((AJ28/po)-0.57)),IF(AJ28&lt;F15,ro*((2*(po*(F14-1)+F4))/((1+F14)*((F14-1)*AJ28+F4)))^(1/(F14-1)),ro))</f>
        <v>5</v>
      </c>
      <c r="AL29" s="216">
        <f>T27</f>
        <v>17.931815491872062</v>
      </c>
      <c r="AM29" s="216">
        <f>T28</f>
        <v>0</v>
      </c>
      <c r="AN29" s="216">
        <f>T30</f>
        <v>17.50968321663548</v>
      </c>
    </row>
    <row r="30" spans="2:40" ht="15" thickBot="1" x14ac:dyDescent="0.4">
      <c r="I30" s="72" t="s">
        <v>32</v>
      </c>
      <c r="J30" s="184"/>
      <c r="K30" s="104">
        <v>50</v>
      </c>
      <c r="L30" s="104">
        <v>3</v>
      </c>
      <c r="M30" s="104">
        <v>11</v>
      </c>
      <c r="N30" s="104">
        <v>25</v>
      </c>
      <c r="O30" s="146">
        <f>1.1*D^(-0.97)</f>
        <v>0.11786712357613671</v>
      </c>
      <c r="Q30" s="195" t="s">
        <v>82</v>
      </c>
      <c r="R30" s="196"/>
      <c r="S30" s="197"/>
      <c r="T30" s="115">
        <f>T29-(D/2)</f>
        <v>17.50968321663548</v>
      </c>
      <c r="U30" s="115">
        <f t="shared" ref="U30:AJ30" si="14">U29-(D/2)</f>
        <v>14.677330685021609</v>
      </c>
      <c r="V30" s="115">
        <f t="shared" si="14"/>
        <v>9.5897858827625893</v>
      </c>
      <c r="W30" s="115">
        <f t="shared" si="14"/>
        <v>6.6520783467173139</v>
      </c>
      <c r="X30" s="115">
        <f t="shared" si="14"/>
        <v>4.7307277314504148</v>
      </c>
      <c r="Y30" s="115">
        <f t="shared" si="14"/>
        <v>3.3721456568865253</v>
      </c>
      <c r="Z30" s="115">
        <f t="shared" si="14"/>
        <v>2.3585883741865823</v>
      </c>
      <c r="AA30" s="115">
        <f t="shared" si="14"/>
        <v>1.5722309438073374</v>
      </c>
      <c r="AB30" s="115">
        <f t="shared" si="14"/>
        <v>0.94363487455547368</v>
      </c>
      <c r="AC30" s="115">
        <f t="shared" si="14"/>
        <v>0.42916655236138723</v>
      </c>
      <c r="AD30" s="115">
        <f t="shared" si="14"/>
        <v>0</v>
      </c>
      <c r="AE30" s="115">
        <f t="shared" si="14"/>
        <v>0</v>
      </c>
      <c r="AF30" s="115">
        <f t="shared" si="14"/>
        <v>0</v>
      </c>
      <c r="AG30" s="115">
        <f t="shared" si="14"/>
        <v>0</v>
      </c>
      <c r="AH30" s="115">
        <f t="shared" si="14"/>
        <v>0</v>
      </c>
      <c r="AI30" s="115">
        <f t="shared" si="14"/>
        <v>0</v>
      </c>
      <c r="AJ30" s="116">
        <f t="shared" si="14"/>
        <v>0</v>
      </c>
      <c r="AL30" s="216">
        <f>U27</f>
        <v>11.906304063831888</v>
      </c>
      <c r="AM30" s="216">
        <f>U28</f>
        <v>0.229353718711754</v>
      </c>
      <c r="AN30" s="216">
        <f>U30</f>
        <v>14.677330685021609</v>
      </c>
    </row>
    <row r="31" spans="2:40" ht="15" thickBot="1" x14ac:dyDescent="0.4">
      <c r="I31" s="91" t="s">
        <v>33</v>
      </c>
      <c r="J31" s="185"/>
      <c r="K31" s="105">
        <v>50</v>
      </c>
      <c r="L31" s="105">
        <v>0.5</v>
      </c>
      <c r="M31" s="105">
        <v>6</v>
      </c>
      <c r="N31" s="105">
        <v>26</v>
      </c>
      <c r="O31" s="151">
        <f>0.6*D^(-1)</f>
        <v>0.06</v>
      </c>
      <c r="AL31" s="216">
        <f>V27</f>
        <v>7.8513335583378616</v>
      </c>
      <c r="AM31" s="216">
        <f>V28</f>
        <v>0.458707437423508</v>
      </c>
      <c r="AN31" s="216">
        <f>V30</f>
        <v>9.5897858827625893</v>
      </c>
    </row>
    <row r="32" spans="2:40" ht="15" thickBot="1" x14ac:dyDescent="0.4">
      <c r="Q32" s="67" t="s">
        <v>83</v>
      </c>
      <c r="AL32" s="216">
        <f>W27</f>
        <v>5.1352073334407429</v>
      </c>
      <c r="AM32" s="216">
        <f>W28</f>
        <v>0.68806115613526198</v>
      </c>
      <c r="AN32" s="216">
        <f>W30</f>
        <v>6.6520783467173139</v>
      </c>
    </row>
    <row r="33" spans="17:40" x14ac:dyDescent="0.35">
      <c r="Q33" s="123"/>
      <c r="R33" s="124"/>
      <c r="S33" s="125" t="s">
        <v>79</v>
      </c>
      <c r="T33" s="126">
        <f>C18+F25/3</f>
        <v>8</v>
      </c>
      <c r="U33" s="126">
        <f>T33+C19</f>
        <v>9.35</v>
      </c>
      <c r="V33" s="113">
        <f>T27</f>
        <v>17.931815491872062</v>
      </c>
      <c r="AL33" s="216">
        <f>X27</f>
        <v>3.3256556685653464</v>
      </c>
      <c r="AM33" s="216">
        <f>X28</f>
        <v>0.917414874847016</v>
      </c>
      <c r="AN33" s="216">
        <f>X30</f>
        <v>4.7307277314504148</v>
      </c>
    </row>
    <row r="34" spans="17:40" ht="17.5" thickBot="1" x14ac:dyDescent="0.4">
      <c r="Q34" s="127"/>
      <c r="R34" s="128"/>
      <c r="S34" s="129" t="s">
        <v>156</v>
      </c>
      <c r="T34" s="92">
        <v>0</v>
      </c>
      <c r="U34" s="153">
        <f>F29</f>
        <v>0.51918600682878957</v>
      </c>
      <c r="V34" s="130">
        <f>U34</f>
        <v>0.51918600682878957</v>
      </c>
      <c r="AL34" s="216">
        <f>Y27</f>
        <v>2.1276346218148796</v>
      </c>
      <c r="AM34" s="216">
        <f>Y28</f>
        <v>1.1467685935587699</v>
      </c>
      <c r="AN34" s="216">
        <f>Y30</f>
        <v>3.3721456568865253</v>
      </c>
    </row>
    <row r="35" spans="17:40" x14ac:dyDescent="0.35">
      <c r="AL35" s="216">
        <f>Z27</f>
        <v>1.3403357143764092</v>
      </c>
      <c r="AM35" s="216">
        <f>Z28</f>
        <v>1.376122312270524</v>
      </c>
      <c r="AN35" s="216">
        <f>Z30</f>
        <v>2.3585883741865823</v>
      </c>
    </row>
    <row r="36" spans="17:40" x14ac:dyDescent="0.35">
      <c r="AL36" s="216">
        <f>AA27</f>
        <v>0.8275212152929059</v>
      </c>
      <c r="AM36" s="216">
        <f>AA28</f>
        <v>1.605476030982278</v>
      </c>
      <c r="AN36" s="216">
        <f>AA30</f>
        <v>1.5722309438073374</v>
      </c>
    </row>
    <row r="37" spans="17:40" ht="16.5" customHeight="1" x14ac:dyDescent="0.35">
      <c r="AL37" s="216">
        <f>AB27</f>
        <v>0.4970904491710183</v>
      </c>
      <c r="AM37" s="216">
        <f>AB28</f>
        <v>1.834829749694032</v>
      </c>
      <c r="AN37" s="216">
        <f>AB30</f>
        <v>0.94363487455547368</v>
      </c>
    </row>
    <row r="38" spans="17:40" x14ac:dyDescent="0.35">
      <c r="AL38" s="216">
        <f>AC27</f>
        <v>0.28703154087464217</v>
      </c>
      <c r="AM38" s="216">
        <f>AC28</f>
        <v>2.064183468405786</v>
      </c>
      <c r="AN38" s="216">
        <f>AC30</f>
        <v>0.42916655236138723</v>
      </c>
    </row>
    <row r="39" spans="17:40" x14ac:dyDescent="0.35">
      <c r="AL39" s="216">
        <f>AD27</f>
        <v>0.15578336973131313</v>
      </c>
      <c r="AM39" s="216">
        <f>AD28</f>
        <v>2.2935371871175398</v>
      </c>
      <c r="AN39" s="216">
        <f>AD30</f>
        <v>0</v>
      </c>
    </row>
    <row r="40" spans="17:40" x14ac:dyDescent="0.35">
      <c r="AL40" s="216">
        <f>AE27</f>
        <v>7.5638404677859317E-2</v>
      </c>
      <c r="AM40" s="216">
        <f>AE28</f>
        <v>2.5228909058292937</v>
      </c>
      <c r="AN40" s="216">
        <f>AE30</f>
        <v>0</v>
      </c>
    </row>
    <row r="41" spans="17:40" x14ac:dyDescent="0.35">
      <c r="AL41" s="216">
        <f>AF27</f>
        <v>2.8238435368900906E-2</v>
      </c>
      <c r="AM41" s="216">
        <f>AF28</f>
        <v>2.7522446245410475</v>
      </c>
      <c r="AN41" s="216">
        <f>AF30</f>
        <v>0</v>
      </c>
    </row>
    <row r="42" spans="17:40" x14ac:dyDescent="0.35">
      <c r="AL42" s="216">
        <f>AG27</f>
        <v>1.5078819661262612E-3</v>
      </c>
      <c r="AM42" s="216">
        <f>AG28</f>
        <v>2.9815983432528013</v>
      </c>
      <c r="AN42" s="216">
        <f>AG30</f>
        <v>0</v>
      </c>
    </row>
    <row r="43" spans="17:40" x14ac:dyDescent="0.35">
      <c r="AL43" s="216">
        <f>AH27</f>
        <v>-1.2427594512486749E-2</v>
      </c>
      <c r="AM43" s="216">
        <f>AH28</f>
        <v>3.2109520619645551</v>
      </c>
      <c r="AN43" s="216">
        <f>AH30</f>
        <v>0</v>
      </c>
    </row>
    <row r="44" spans="17:40" x14ac:dyDescent="0.35">
      <c r="AL44" s="216">
        <f>AI27</f>
        <v>-1.8648785994441544E-2</v>
      </c>
      <c r="AM44" s="216">
        <f>AI28</f>
        <v>3.4403057806763089</v>
      </c>
      <c r="AN44" s="216">
        <f>AI30</f>
        <v>0</v>
      </c>
    </row>
    <row r="45" spans="17:40" x14ac:dyDescent="0.35">
      <c r="AL45" s="216">
        <f>AJ27</f>
        <v>-2.0391214348199575E-2</v>
      </c>
      <c r="AM45" s="216">
        <f>AJ28</f>
        <v>3.6696594993880627</v>
      </c>
      <c r="AN45" s="216">
        <f>AJ30</f>
        <v>0</v>
      </c>
    </row>
    <row r="46" spans="17:40" x14ac:dyDescent="0.35">
      <c r="AL46" s="216">
        <f>T33</f>
        <v>8</v>
      </c>
      <c r="AM46" s="216">
        <f>T34</f>
        <v>0</v>
      </c>
    </row>
    <row r="47" spans="17:40" x14ac:dyDescent="0.35">
      <c r="AL47" s="216">
        <f>U33</f>
        <v>9.35</v>
      </c>
      <c r="AM47" s="218">
        <f>U34</f>
        <v>0.51918600682878957</v>
      </c>
    </row>
    <row r="48" spans="17:40" x14ac:dyDescent="0.35">
      <c r="AL48" s="216">
        <f>V33</f>
        <v>17.931815491872062</v>
      </c>
      <c r="AM48" s="216">
        <f>V34</f>
        <v>0.51918600682878957</v>
      </c>
    </row>
    <row r="50" spans="38:39" x14ac:dyDescent="0.35">
      <c r="AL50" s="220">
        <f>ROUND(F15,5)</f>
        <v>2.2935400000000001</v>
      </c>
      <c r="AM50" s="216">
        <f>INDEX(AL29:AL45,MATCH(AL50,AM29:AM45))</f>
        <v>0.15578336973131313</v>
      </c>
    </row>
  </sheetData>
  <mergeCells count="27">
    <mergeCell ref="AL2:AN4"/>
    <mergeCell ref="AO2:AT5"/>
    <mergeCell ref="Q26:S26"/>
    <mergeCell ref="Q27:S27"/>
    <mergeCell ref="Q28:S28"/>
    <mergeCell ref="Q29:S29"/>
    <mergeCell ref="Q30:S30"/>
    <mergeCell ref="Q12:S12"/>
    <mergeCell ref="Q13:S13"/>
    <mergeCell ref="Q14:S14"/>
    <mergeCell ref="B1:C1"/>
    <mergeCell ref="F3:G3"/>
    <mergeCell ref="F5:G5"/>
    <mergeCell ref="E1:G1"/>
    <mergeCell ref="R3:Y3"/>
    <mergeCell ref="F9:G9"/>
    <mergeCell ref="J3:J5"/>
    <mergeCell ref="J6:J7"/>
    <mergeCell ref="J8:J9"/>
    <mergeCell ref="Q10:S10"/>
    <mergeCell ref="Q11:S11"/>
    <mergeCell ref="J25:J31"/>
    <mergeCell ref="J12:J13"/>
    <mergeCell ref="J14:J23"/>
    <mergeCell ref="J10:J11"/>
    <mergeCell ref="E24:F24"/>
    <mergeCell ref="F16:G16"/>
  </mergeCells>
  <dataValidations count="1">
    <dataValidation type="list" allowBlank="1" showInputMessage="1" showErrorMessage="1" sqref="F28" xr:uid="{A83AB5A3-E0A3-47D5-A4A6-1E85C392FBFD}">
      <formula1>$I$3:$I$31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2</vt:i4>
      </vt:variant>
      <vt:variant>
        <vt:lpstr>Gráficos</vt:lpstr>
      </vt:variant>
      <vt:variant>
        <vt:i4>2</vt:i4>
      </vt:variant>
      <vt:variant>
        <vt:lpstr>Intervalos Nomeados</vt:lpstr>
      </vt:variant>
      <vt:variant>
        <vt:i4>52</vt:i4>
      </vt:variant>
    </vt:vector>
  </HeadingPairs>
  <TitlesOfParts>
    <vt:vector size="56" baseType="lpstr">
      <vt:lpstr>Suporte (Exemplo inicial)</vt:lpstr>
      <vt:lpstr>Principal</vt:lpstr>
      <vt:lpstr>Gráfico 1 Hoek 2007</vt:lpstr>
      <vt:lpstr>Gráfico 2 HB 2002</vt:lpstr>
      <vt:lpstr>'Suporte (Exemplo inicial)'!a</vt:lpstr>
      <vt:lpstr>a</vt:lpstr>
      <vt:lpstr>coh</vt:lpstr>
      <vt:lpstr>'Suporte (Exemplo inicial)'!D</vt:lpstr>
      <vt:lpstr>D</vt:lpstr>
      <vt:lpstr>'Suporte (Exemplo inicial)'!E</vt:lpstr>
      <vt:lpstr>E</vt:lpstr>
      <vt:lpstr>'Suporte (Exemplo inicial)'!fatD</vt:lpstr>
      <vt:lpstr>fatD</vt:lpstr>
      <vt:lpstr>'Suporte (Exemplo inicial)'!GSI</vt:lpstr>
      <vt:lpstr>GSI</vt:lpstr>
      <vt:lpstr>'Suporte (Exemplo inicial)'!k</vt:lpstr>
      <vt:lpstr>k</vt:lpstr>
      <vt:lpstr>'Suporte (Exemplo inicial)'!mb</vt:lpstr>
      <vt:lpstr>mb</vt:lpstr>
      <vt:lpstr>'Suporte (Exemplo inicial)'!mi</vt:lpstr>
      <vt:lpstr>mi</vt:lpstr>
      <vt:lpstr>'Suporte (Exemplo inicial)'!mu</vt:lpstr>
      <vt:lpstr>mu</vt:lpstr>
      <vt:lpstr>'Suporte (Exemplo inicial)'!pcr</vt:lpstr>
      <vt:lpstr>pcr</vt:lpstr>
      <vt:lpstr>'Suporte (Exemplo inicial)'!phi</vt:lpstr>
      <vt:lpstr>phi</vt:lpstr>
      <vt:lpstr>'Suporte (Exemplo inicial)'!pis</vt:lpstr>
      <vt:lpstr>pis</vt:lpstr>
      <vt:lpstr>'Suporte (Exemplo inicial)'!po</vt:lpstr>
      <vt:lpstr>po</vt:lpstr>
      <vt:lpstr>'Suporte (Exemplo inicial)'!ro</vt:lpstr>
      <vt:lpstr>ro</vt:lpstr>
      <vt:lpstr>'Suporte (Exemplo inicial)'!s</vt:lpstr>
      <vt:lpstr>s</vt:lpstr>
      <vt:lpstr>'Suporte (Exemplo inicial)'!sigci</vt:lpstr>
      <vt:lpstr>sigci</vt:lpstr>
      <vt:lpstr>'Suporte (Exemplo inicial)'!sigcm</vt:lpstr>
      <vt:lpstr>sigcm</vt:lpstr>
      <vt:lpstr>'Suporte (Exemplo inicial)'!spacing</vt:lpstr>
      <vt:lpstr>spacing</vt:lpstr>
      <vt:lpstr>'Suporte (Exemplo inicial)'!sumsig1</vt:lpstr>
      <vt:lpstr>sumsig1</vt:lpstr>
      <vt:lpstr>'Suporte (Exemplo inicial)'!sumsig3</vt:lpstr>
      <vt:lpstr>sumsig3</vt:lpstr>
      <vt:lpstr>'Suporte (Exemplo inicial)'!sumsig3sig1</vt:lpstr>
      <vt:lpstr>sumsig3sig1</vt:lpstr>
      <vt:lpstr>'Suporte (Exemplo inicial)'!sumsig3sq</vt:lpstr>
      <vt:lpstr>sumsig3sq</vt:lpstr>
      <vt:lpstr>'Suporte (Exemplo inicial)'!ui</vt:lpstr>
      <vt:lpstr>ui</vt:lpstr>
      <vt:lpstr>uso</vt:lpstr>
      <vt:lpstr>'Suporte (Exemplo inicial)'!y</vt:lpstr>
      <vt:lpstr>y</vt:lpstr>
      <vt:lpstr>'Suporte (Exemplo inicial)'!z</vt:lpstr>
      <vt:lpstr>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2019-07-15T00:50:01Z</cp:lastPrinted>
  <dcterms:created xsi:type="dcterms:W3CDTF">2018-05-28T00:32:28Z</dcterms:created>
  <dcterms:modified xsi:type="dcterms:W3CDTF">2019-08-10T18:23:52Z</dcterms:modified>
</cp:coreProperties>
</file>